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82\Desktop\Transparência\"/>
    </mc:Choice>
  </mc:AlternateContent>
  <bookViews>
    <workbookView xWindow="0" yWindow="0" windowWidth="28800" windowHeight="12180"/>
  </bookViews>
  <sheets>
    <sheet name="Lei 6.001 com Reajuste 5%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1" i="1" l="1"/>
  <c r="D302" i="1"/>
  <c r="C302" i="1"/>
  <c r="D301" i="1"/>
  <c r="C301" i="1"/>
  <c r="D300" i="1"/>
  <c r="C300" i="1"/>
  <c r="D299" i="1"/>
  <c r="C299" i="1"/>
  <c r="D298" i="1"/>
  <c r="C298" i="1"/>
  <c r="D297" i="1"/>
  <c r="C297" i="1"/>
  <c r="D296" i="1"/>
  <c r="C296" i="1"/>
  <c r="D295" i="1"/>
  <c r="C295" i="1"/>
  <c r="D294" i="1"/>
  <c r="C294" i="1"/>
  <c r="H284" i="1"/>
  <c r="G284" i="1"/>
  <c r="F284" i="1"/>
  <c r="E284" i="1"/>
  <c r="H283" i="1"/>
  <c r="G283" i="1"/>
  <c r="F283" i="1"/>
  <c r="E283" i="1"/>
  <c r="H282" i="1"/>
  <c r="G282" i="1"/>
  <c r="F282" i="1"/>
  <c r="E282" i="1"/>
  <c r="H281" i="1"/>
  <c r="G281" i="1"/>
  <c r="F281" i="1"/>
  <c r="E281" i="1"/>
  <c r="H280" i="1"/>
  <c r="G280" i="1"/>
  <c r="F280" i="1"/>
  <c r="E280" i="1"/>
  <c r="H279" i="1"/>
  <c r="G279" i="1"/>
  <c r="F279" i="1"/>
  <c r="E279" i="1"/>
  <c r="H278" i="1"/>
  <c r="G278" i="1"/>
  <c r="F278" i="1"/>
  <c r="E278" i="1"/>
  <c r="H277" i="1"/>
  <c r="G277" i="1"/>
  <c r="F277" i="1"/>
  <c r="E277" i="1"/>
  <c r="H276" i="1"/>
  <c r="G276" i="1"/>
  <c r="F276" i="1"/>
  <c r="E276" i="1"/>
  <c r="H275" i="1"/>
  <c r="G275" i="1"/>
  <c r="F275" i="1"/>
  <c r="E275" i="1"/>
  <c r="H274" i="1"/>
  <c r="G274" i="1"/>
  <c r="F274" i="1"/>
  <c r="E274" i="1"/>
  <c r="H273" i="1"/>
  <c r="G273" i="1"/>
  <c r="F273" i="1"/>
  <c r="E273" i="1"/>
  <c r="H272" i="1"/>
  <c r="G272" i="1"/>
  <c r="F272" i="1"/>
  <c r="E272" i="1"/>
  <c r="H271" i="1"/>
  <c r="G271" i="1"/>
  <c r="F271" i="1"/>
  <c r="E271" i="1"/>
  <c r="H270" i="1"/>
  <c r="G270" i="1"/>
  <c r="F270" i="1"/>
  <c r="E270" i="1"/>
  <c r="H269" i="1"/>
  <c r="G269" i="1"/>
  <c r="F269" i="1"/>
  <c r="E269" i="1"/>
  <c r="H268" i="1"/>
  <c r="G268" i="1"/>
  <c r="F268" i="1"/>
  <c r="E268" i="1"/>
  <c r="H267" i="1"/>
  <c r="G267" i="1"/>
  <c r="F267" i="1"/>
  <c r="E267" i="1"/>
  <c r="H260" i="1"/>
  <c r="G260" i="1"/>
  <c r="F260" i="1"/>
  <c r="E260" i="1"/>
  <c r="H259" i="1"/>
  <c r="G259" i="1"/>
  <c r="F259" i="1"/>
  <c r="E259" i="1"/>
  <c r="H258" i="1"/>
  <c r="G258" i="1"/>
  <c r="F258" i="1"/>
  <c r="E258" i="1"/>
  <c r="H257" i="1"/>
  <c r="G257" i="1"/>
  <c r="F257" i="1"/>
  <c r="E257" i="1"/>
  <c r="H256" i="1"/>
  <c r="G256" i="1"/>
  <c r="F256" i="1"/>
  <c r="E256" i="1"/>
  <c r="H255" i="1"/>
  <c r="G255" i="1"/>
  <c r="F255" i="1"/>
  <c r="E255" i="1"/>
  <c r="H254" i="1"/>
  <c r="G254" i="1"/>
  <c r="F254" i="1"/>
  <c r="E254" i="1"/>
  <c r="H253" i="1"/>
  <c r="G253" i="1"/>
  <c r="F253" i="1"/>
  <c r="E253" i="1"/>
  <c r="H252" i="1"/>
  <c r="G252" i="1"/>
  <c r="F252" i="1"/>
  <c r="E252" i="1"/>
  <c r="H251" i="1"/>
  <c r="G251" i="1"/>
  <c r="F251" i="1"/>
  <c r="E251" i="1"/>
  <c r="H250" i="1"/>
  <c r="G250" i="1"/>
  <c r="F250" i="1"/>
  <c r="E250" i="1"/>
  <c r="H249" i="1"/>
  <c r="G249" i="1"/>
  <c r="F249" i="1"/>
  <c r="E249" i="1"/>
  <c r="H248" i="1"/>
  <c r="G248" i="1"/>
  <c r="F248" i="1"/>
  <c r="E248" i="1"/>
  <c r="H247" i="1"/>
  <c r="G247" i="1"/>
  <c r="F247" i="1"/>
  <c r="E247" i="1"/>
  <c r="H246" i="1"/>
  <c r="G246" i="1"/>
  <c r="F246" i="1"/>
  <c r="E246" i="1"/>
  <c r="H245" i="1"/>
  <c r="G245" i="1"/>
  <c r="F245" i="1"/>
  <c r="E245" i="1"/>
  <c r="H244" i="1"/>
  <c r="G244" i="1"/>
  <c r="F244" i="1"/>
  <c r="E244" i="1"/>
  <c r="H243" i="1"/>
  <c r="G243" i="1"/>
  <c r="F243" i="1"/>
  <c r="E243" i="1"/>
  <c r="H239" i="1"/>
  <c r="G239" i="1"/>
  <c r="F239" i="1"/>
  <c r="E239" i="1"/>
  <c r="H238" i="1"/>
  <c r="G238" i="1"/>
  <c r="F238" i="1"/>
  <c r="E238" i="1"/>
  <c r="H237" i="1"/>
  <c r="G237" i="1"/>
  <c r="F237" i="1"/>
  <c r="E237" i="1"/>
  <c r="H236" i="1"/>
  <c r="G236" i="1"/>
  <c r="F236" i="1"/>
  <c r="E236" i="1"/>
  <c r="H235" i="1"/>
  <c r="G235" i="1"/>
  <c r="F235" i="1"/>
  <c r="E235" i="1"/>
  <c r="H234" i="1"/>
  <c r="G234" i="1"/>
  <c r="F234" i="1"/>
  <c r="E234" i="1"/>
  <c r="H233" i="1"/>
  <c r="G233" i="1"/>
  <c r="F233" i="1"/>
  <c r="E233" i="1"/>
  <c r="H232" i="1"/>
  <c r="G232" i="1"/>
  <c r="F232" i="1"/>
  <c r="E232" i="1"/>
  <c r="H231" i="1"/>
  <c r="G231" i="1"/>
  <c r="F231" i="1"/>
  <c r="E231" i="1"/>
  <c r="H230" i="1"/>
  <c r="G230" i="1"/>
  <c r="F230" i="1"/>
  <c r="E230" i="1"/>
  <c r="H229" i="1"/>
  <c r="G229" i="1"/>
  <c r="F229" i="1"/>
  <c r="E229" i="1"/>
  <c r="H228" i="1"/>
  <c r="G228" i="1"/>
  <c r="F228" i="1"/>
  <c r="E228" i="1"/>
  <c r="H227" i="1"/>
  <c r="G227" i="1"/>
  <c r="F227" i="1"/>
  <c r="E227" i="1"/>
  <c r="H226" i="1"/>
  <c r="G226" i="1"/>
  <c r="F226" i="1"/>
  <c r="E226" i="1"/>
  <c r="H225" i="1"/>
  <c r="G225" i="1"/>
  <c r="F225" i="1"/>
  <c r="E225" i="1"/>
  <c r="H224" i="1"/>
  <c r="G224" i="1"/>
  <c r="F224" i="1"/>
  <c r="E224" i="1"/>
  <c r="H223" i="1"/>
  <c r="G223" i="1"/>
  <c r="F223" i="1"/>
  <c r="E223" i="1"/>
  <c r="H222" i="1"/>
  <c r="G222" i="1"/>
  <c r="F222" i="1"/>
  <c r="E222" i="1"/>
  <c r="H219" i="1"/>
  <c r="G219" i="1"/>
  <c r="F219" i="1"/>
  <c r="E219" i="1"/>
  <c r="H218" i="1"/>
  <c r="G218" i="1"/>
  <c r="F218" i="1"/>
  <c r="E218" i="1"/>
  <c r="H217" i="1"/>
  <c r="G217" i="1"/>
  <c r="F217" i="1"/>
  <c r="E217" i="1"/>
  <c r="H216" i="1"/>
  <c r="G216" i="1"/>
  <c r="F216" i="1"/>
  <c r="E216" i="1"/>
  <c r="H215" i="1"/>
  <c r="G215" i="1"/>
  <c r="F215" i="1"/>
  <c r="E215" i="1"/>
  <c r="H214" i="1"/>
  <c r="G214" i="1"/>
  <c r="F214" i="1"/>
  <c r="E214" i="1"/>
  <c r="H213" i="1"/>
  <c r="G213" i="1"/>
  <c r="F213" i="1"/>
  <c r="E213" i="1"/>
  <c r="H212" i="1"/>
  <c r="G212" i="1"/>
  <c r="F212" i="1"/>
  <c r="E212" i="1"/>
  <c r="H211" i="1"/>
  <c r="G211" i="1"/>
  <c r="F211" i="1"/>
  <c r="E211" i="1"/>
  <c r="H210" i="1"/>
  <c r="G210" i="1"/>
  <c r="F210" i="1"/>
  <c r="E210" i="1"/>
  <c r="H209" i="1"/>
  <c r="G209" i="1"/>
  <c r="F209" i="1"/>
  <c r="E209" i="1"/>
  <c r="H208" i="1"/>
  <c r="G208" i="1"/>
  <c r="F208" i="1"/>
  <c r="E208" i="1"/>
  <c r="H207" i="1"/>
  <c r="G207" i="1"/>
  <c r="F207" i="1"/>
  <c r="E207" i="1"/>
  <c r="H206" i="1"/>
  <c r="G206" i="1"/>
  <c r="F206" i="1"/>
  <c r="E206" i="1"/>
  <c r="H205" i="1"/>
  <c r="G205" i="1"/>
  <c r="F205" i="1"/>
  <c r="E205" i="1"/>
  <c r="H204" i="1"/>
  <c r="G204" i="1"/>
  <c r="F204" i="1"/>
  <c r="E204" i="1"/>
  <c r="H203" i="1"/>
  <c r="G203" i="1"/>
  <c r="F203" i="1"/>
  <c r="E203" i="1"/>
  <c r="H202" i="1"/>
  <c r="G202" i="1"/>
  <c r="F202" i="1"/>
  <c r="E202" i="1"/>
  <c r="G193" i="1"/>
  <c r="F193" i="1"/>
  <c r="E193" i="1"/>
  <c r="G192" i="1"/>
  <c r="F192" i="1"/>
  <c r="E192" i="1"/>
  <c r="G191" i="1"/>
  <c r="F191" i="1"/>
  <c r="E191" i="1"/>
  <c r="G190" i="1"/>
  <c r="F190" i="1"/>
  <c r="E190" i="1"/>
  <c r="G189" i="1"/>
  <c r="F189" i="1"/>
  <c r="E189" i="1"/>
  <c r="G188" i="1"/>
  <c r="F188" i="1"/>
  <c r="E188" i="1"/>
  <c r="G187" i="1"/>
  <c r="F187" i="1"/>
  <c r="E187" i="1"/>
  <c r="G186" i="1"/>
  <c r="F186" i="1"/>
  <c r="E186" i="1"/>
  <c r="G185" i="1"/>
  <c r="F185" i="1"/>
  <c r="E185" i="1"/>
  <c r="G184" i="1"/>
  <c r="F184" i="1"/>
  <c r="E184" i="1"/>
  <c r="G183" i="1"/>
  <c r="F183" i="1"/>
  <c r="E183" i="1"/>
  <c r="G182" i="1"/>
  <c r="F182" i="1"/>
  <c r="E182" i="1"/>
  <c r="G181" i="1"/>
  <c r="F181" i="1"/>
  <c r="E181" i="1"/>
  <c r="G180" i="1"/>
  <c r="F180" i="1"/>
  <c r="E180" i="1"/>
  <c r="G179" i="1"/>
  <c r="F179" i="1"/>
  <c r="E179" i="1"/>
  <c r="G178" i="1"/>
  <c r="F178" i="1"/>
  <c r="E178" i="1"/>
  <c r="G177" i="1"/>
  <c r="F177" i="1"/>
  <c r="E177" i="1"/>
  <c r="G176" i="1"/>
  <c r="F176" i="1"/>
  <c r="E176" i="1"/>
  <c r="G168" i="1"/>
  <c r="F168" i="1"/>
  <c r="E168" i="1"/>
  <c r="D168" i="1"/>
  <c r="G167" i="1"/>
  <c r="F167" i="1"/>
  <c r="E167" i="1"/>
  <c r="D167" i="1"/>
  <c r="G166" i="1"/>
  <c r="F166" i="1"/>
  <c r="E166" i="1"/>
  <c r="D166" i="1"/>
  <c r="G165" i="1"/>
  <c r="F165" i="1"/>
  <c r="E165" i="1"/>
  <c r="D165" i="1"/>
  <c r="G164" i="1"/>
  <c r="F164" i="1"/>
  <c r="E164" i="1"/>
  <c r="D164" i="1"/>
  <c r="G163" i="1"/>
  <c r="F163" i="1"/>
  <c r="E163" i="1"/>
  <c r="D163" i="1"/>
  <c r="G162" i="1"/>
  <c r="F162" i="1"/>
  <c r="E162" i="1"/>
  <c r="D162" i="1"/>
  <c r="G161" i="1"/>
  <c r="F161" i="1"/>
  <c r="E161" i="1"/>
  <c r="F126" i="1"/>
  <c r="E126" i="1"/>
  <c r="D126" i="1"/>
  <c r="F125" i="1"/>
  <c r="E125" i="1"/>
  <c r="D125" i="1"/>
  <c r="F124" i="1"/>
  <c r="E124" i="1"/>
  <c r="D124" i="1"/>
  <c r="F123" i="1"/>
  <c r="E123" i="1"/>
  <c r="D123" i="1"/>
  <c r="F122" i="1"/>
  <c r="E122" i="1"/>
  <c r="D122" i="1"/>
  <c r="F121" i="1"/>
  <c r="E121" i="1"/>
  <c r="D121" i="1"/>
  <c r="F120" i="1"/>
  <c r="E120" i="1"/>
  <c r="D120" i="1"/>
  <c r="F119" i="1"/>
  <c r="E119" i="1"/>
  <c r="D119" i="1"/>
  <c r="F118" i="1"/>
  <c r="E118" i="1"/>
  <c r="D118" i="1"/>
  <c r="F117" i="1"/>
  <c r="E117" i="1"/>
  <c r="D117" i="1"/>
  <c r="F116" i="1"/>
  <c r="E116" i="1"/>
  <c r="D116" i="1"/>
  <c r="F115" i="1"/>
  <c r="E115" i="1"/>
  <c r="D115" i="1"/>
  <c r="F114" i="1"/>
  <c r="E114" i="1"/>
  <c r="D114" i="1"/>
  <c r="F113" i="1"/>
  <c r="E113" i="1"/>
  <c r="D113" i="1"/>
  <c r="F112" i="1"/>
  <c r="E112" i="1"/>
  <c r="D112" i="1"/>
  <c r="F111" i="1"/>
  <c r="E111" i="1"/>
  <c r="D111" i="1"/>
  <c r="F110" i="1"/>
  <c r="E110" i="1"/>
  <c r="D110" i="1"/>
  <c r="F109" i="1"/>
  <c r="E109" i="1"/>
  <c r="D109" i="1"/>
  <c r="G100" i="1"/>
  <c r="F100" i="1"/>
  <c r="E100" i="1"/>
  <c r="D100" i="1"/>
  <c r="G99" i="1"/>
  <c r="F99" i="1"/>
  <c r="E99" i="1"/>
  <c r="D99" i="1"/>
  <c r="G98" i="1"/>
  <c r="F98" i="1"/>
  <c r="E98" i="1"/>
  <c r="D98" i="1"/>
  <c r="G97" i="1"/>
  <c r="F97" i="1"/>
  <c r="E97" i="1"/>
  <c r="D97" i="1"/>
  <c r="G96" i="1"/>
  <c r="F96" i="1"/>
  <c r="E96" i="1"/>
  <c r="D96" i="1"/>
  <c r="G95" i="1"/>
  <c r="F95" i="1"/>
  <c r="E95" i="1"/>
  <c r="D95" i="1"/>
  <c r="G94" i="1"/>
  <c r="F94" i="1"/>
  <c r="E94" i="1"/>
  <c r="D94" i="1"/>
  <c r="G93" i="1"/>
  <c r="F93" i="1"/>
  <c r="E93" i="1"/>
  <c r="D93" i="1"/>
  <c r="G92" i="1"/>
  <c r="F92" i="1"/>
  <c r="E92" i="1"/>
  <c r="D92" i="1"/>
  <c r="G91" i="1"/>
  <c r="F91" i="1"/>
  <c r="E91" i="1"/>
  <c r="D91" i="1"/>
  <c r="G90" i="1"/>
  <c r="F90" i="1"/>
  <c r="E90" i="1"/>
  <c r="D90" i="1"/>
  <c r="G89" i="1"/>
  <c r="F89" i="1"/>
  <c r="E89" i="1"/>
  <c r="D89" i="1"/>
  <c r="G88" i="1"/>
  <c r="F88" i="1"/>
  <c r="E88" i="1"/>
  <c r="D88" i="1"/>
  <c r="G87" i="1"/>
  <c r="F87" i="1"/>
  <c r="E87" i="1"/>
  <c r="D87" i="1"/>
  <c r="G86" i="1"/>
  <c r="F86" i="1"/>
  <c r="E86" i="1"/>
  <c r="D86" i="1"/>
  <c r="G85" i="1"/>
  <c r="F85" i="1"/>
  <c r="E85" i="1"/>
  <c r="D85" i="1"/>
  <c r="G84" i="1"/>
  <c r="F84" i="1"/>
  <c r="E84" i="1"/>
  <c r="D84" i="1"/>
  <c r="G83" i="1"/>
  <c r="F83" i="1"/>
  <c r="E83" i="1"/>
  <c r="D83" i="1"/>
  <c r="I75" i="1"/>
  <c r="H75" i="1"/>
  <c r="G75" i="1"/>
  <c r="F75" i="1"/>
  <c r="E75" i="1"/>
  <c r="D75" i="1"/>
  <c r="I74" i="1"/>
  <c r="H74" i="1"/>
  <c r="G74" i="1"/>
  <c r="F74" i="1"/>
  <c r="E74" i="1"/>
  <c r="D74" i="1"/>
  <c r="I73" i="1"/>
  <c r="H73" i="1"/>
  <c r="G73" i="1"/>
  <c r="F73" i="1"/>
  <c r="E73" i="1"/>
  <c r="D73" i="1"/>
  <c r="I72" i="1"/>
  <c r="H72" i="1"/>
  <c r="G72" i="1"/>
  <c r="F72" i="1"/>
  <c r="E72" i="1"/>
  <c r="D72" i="1"/>
  <c r="I71" i="1"/>
  <c r="H71" i="1"/>
  <c r="G71" i="1"/>
  <c r="F71" i="1"/>
  <c r="E71" i="1"/>
  <c r="D71" i="1"/>
  <c r="I70" i="1"/>
  <c r="H70" i="1"/>
  <c r="G70" i="1"/>
  <c r="F70" i="1"/>
  <c r="E70" i="1"/>
  <c r="D70" i="1"/>
  <c r="I69" i="1"/>
  <c r="H69" i="1"/>
  <c r="G69" i="1"/>
  <c r="F69" i="1"/>
  <c r="E69" i="1"/>
  <c r="D69" i="1"/>
  <c r="I68" i="1"/>
  <c r="H68" i="1"/>
  <c r="G68" i="1"/>
  <c r="F68" i="1"/>
  <c r="E68" i="1"/>
  <c r="D68" i="1"/>
  <c r="I67" i="1"/>
  <c r="H67" i="1"/>
  <c r="G67" i="1"/>
  <c r="F67" i="1"/>
  <c r="E67" i="1"/>
  <c r="D67" i="1"/>
  <c r="I66" i="1"/>
  <c r="H66" i="1"/>
  <c r="G66" i="1"/>
  <c r="F66" i="1"/>
  <c r="E66" i="1"/>
  <c r="D66" i="1"/>
  <c r="I65" i="1"/>
  <c r="H65" i="1"/>
  <c r="G65" i="1"/>
  <c r="F65" i="1"/>
  <c r="E65" i="1"/>
  <c r="D65" i="1"/>
  <c r="I64" i="1"/>
  <c r="H64" i="1"/>
  <c r="G64" i="1"/>
  <c r="F64" i="1"/>
  <c r="E64" i="1"/>
  <c r="D64" i="1"/>
  <c r="I63" i="1"/>
  <c r="H63" i="1"/>
  <c r="G63" i="1"/>
  <c r="F63" i="1"/>
  <c r="E63" i="1"/>
  <c r="D63" i="1"/>
  <c r="I62" i="1"/>
  <c r="H62" i="1"/>
  <c r="G62" i="1"/>
  <c r="F62" i="1"/>
  <c r="E62" i="1"/>
  <c r="D62" i="1"/>
  <c r="I61" i="1"/>
  <c r="H61" i="1"/>
  <c r="G61" i="1"/>
  <c r="F61" i="1"/>
  <c r="E61" i="1"/>
  <c r="D61" i="1"/>
  <c r="I60" i="1"/>
  <c r="H60" i="1"/>
  <c r="G60" i="1"/>
  <c r="F60" i="1"/>
  <c r="E60" i="1"/>
  <c r="D60" i="1"/>
  <c r="I59" i="1"/>
  <c r="H59" i="1"/>
  <c r="G59" i="1"/>
  <c r="F59" i="1"/>
  <c r="E59" i="1"/>
  <c r="D59" i="1"/>
  <c r="I58" i="1"/>
  <c r="H58" i="1"/>
  <c r="G58" i="1"/>
  <c r="F58" i="1"/>
  <c r="E58" i="1"/>
  <c r="D58" i="1"/>
  <c r="I50" i="1"/>
  <c r="H50" i="1"/>
  <c r="G50" i="1"/>
  <c r="F50" i="1"/>
  <c r="E50" i="1"/>
  <c r="D50" i="1"/>
  <c r="I49" i="1"/>
  <c r="H49" i="1"/>
  <c r="G49" i="1"/>
  <c r="F49" i="1"/>
  <c r="E49" i="1"/>
  <c r="D49" i="1"/>
  <c r="I48" i="1"/>
  <c r="H48" i="1"/>
  <c r="G48" i="1"/>
  <c r="F48" i="1"/>
  <c r="E48" i="1"/>
  <c r="D48" i="1"/>
  <c r="I47" i="1"/>
  <c r="H47" i="1"/>
  <c r="G47" i="1"/>
  <c r="F47" i="1"/>
  <c r="E47" i="1"/>
  <c r="D47" i="1"/>
  <c r="I46" i="1"/>
  <c r="H46" i="1"/>
  <c r="G46" i="1"/>
  <c r="F46" i="1"/>
  <c r="E46" i="1"/>
  <c r="D46" i="1"/>
  <c r="I45" i="1"/>
  <c r="H45" i="1"/>
  <c r="G45" i="1"/>
  <c r="F45" i="1"/>
  <c r="E45" i="1"/>
  <c r="D45" i="1"/>
  <c r="I44" i="1"/>
  <c r="H44" i="1"/>
  <c r="G44" i="1"/>
  <c r="F44" i="1"/>
  <c r="E44" i="1"/>
  <c r="D44" i="1"/>
  <c r="I43" i="1"/>
  <c r="H43" i="1"/>
  <c r="G43" i="1"/>
  <c r="F43" i="1"/>
  <c r="E43" i="1"/>
  <c r="D43" i="1"/>
  <c r="I42" i="1"/>
  <c r="H42" i="1"/>
  <c r="G42" i="1"/>
  <c r="F42" i="1"/>
  <c r="E42" i="1"/>
  <c r="D42" i="1"/>
  <c r="I41" i="1"/>
  <c r="H41" i="1"/>
  <c r="G41" i="1"/>
  <c r="F41" i="1"/>
  <c r="E41" i="1"/>
  <c r="D41" i="1"/>
  <c r="I40" i="1"/>
  <c r="H40" i="1"/>
  <c r="G40" i="1"/>
  <c r="F40" i="1"/>
  <c r="E40" i="1"/>
  <c r="D40" i="1"/>
  <c r="I39" i="1"/>
  <c r="H39" i="1"/>
  <c r="G39" i="1"/>
  <c r="F39" i="1"/>
  <c r="E39" i="1"/>
  <c r="D39" i="1"/>
  <c r="I38" i="1"/>
  <c r="H38" i="1"/>
  <c r="G38" i="1"/>
  <c r="F38" i="1"/>
  <c r="E38" i="1"/>
  <c r="D38" i="1"/>
  <c r="I37" i="1"/>
  <c r="H37" i="1"/>
  <c r="G37" i="1"/>
  <c r="F37" i="1"/>
  <c r="E37" i="1"/>
  <c r="D37" i="1"/>
  <c r="I36" i="1"/>
  <c r="H36" i="1"/>
  <c r="G36" i="1"/>
  <c r="F36" i="1"/>
  <c r="E36" i="1"/>
  <c r="D36" i="1"/>
  <c r="I35" i="1"/>
  <c r="H35" i="1"/>
  <c r="G35" i="1"/>
  <c r="F35" i="1"/>
  <c r="E35" i="1"/>
  <c r="D35" i="1"/>
  <c r="I34" i="1"/>
  <c r="H34" i="1"/>
  <c r="G34" i="1"/>
  <c r="F34" i="1"/>
  <c r="E34" i="1"/>
  <c r="D34" i="1"/>
  <c r="I33" i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<sst xmlns="http://schemas.openxmlformats.org/spreadsheetml/2006/main" count="419" uniqueCount="158">
  <si>
    <t>Membros do Tribunal de Contas e do Ministério Público de Contas</t>
  </si>
  <si>
    <t>Descrisão</t>
  </si>
  <si>
    <t>A partir de Abr/2023</t>
  </si>
  <si>
    <t>A partir de Fev/2024</t>
  </si>
  <si>
    <t>A partir de Fev/2025</t>
  </si>
  <si>
    <t>Subsídio - Conselheiro e Procurador do MPC</t>
  </si>
  <si>
    <t>Subsídio - Conselheiro Substituto</t>
  </si>
  <si>
    <t>* LEI N° 5.539, DE 29 DE MARÇO DE 2023</t>
  </si>
  <si>
    <t>Representação para os Membros do Tribunal de Contas</t>
  </si>
  <si>
    <t>Presidente</t>
  </si>
  <si>
    <t>25% do Subsídio</t>
  </si>
  <si>
    <t>Vice-Presidente, Corregedor e os Presidentes de Câmaras</t>
  </si>
  <si>
    <t>20% do Subsídio</t>
  </si>
  <si>
    <t>* Art. 65, § 10  da Lei Complementar nº 154, de 26 de julho de 1996;</t>
  </si>
  <si>
    <t>Representação para  os Membros do Ministério Público de Contas</t>
  </si>
  <si>
    <t>Procurador-Geral *</t>
  </si>
  <si>
    <t>Corregedor* e  Subprocuradoria-Geral, a Subprocuradoria-Auxiliar da Procuradoria-Geral, a Ouvidoria-Geral e o Centro de Apoio Operacional**</t>
  </si>
  <si>
    <t>* Art. 83 da Lei Complementar nº 799/2014;
** Art. 31 da  Lei Complementar nº 1.218/2024</t>
  </si>
  <si>
    <t>Indenização Especial de Transporte - IET</t>
  </si>
  <si>
    <t>12% do subsídio dos Membros do Tribunal de Contas e do Ministério Público de Contas</t>
  </si>
  <si>
    <t>*RESOLUÇÃO N. 414/2024/TCE-RO</t>
  </si>
  <si>
    <t>TABELA DE VENCIMENTOS BÁSICOS</t>
  </si>
  <si>
    <t>I - Vencimento Básico da Carreira de Auditoria, Inspeção e Controle</t>
  </si>
  <si>
    <t>NÍVEL DE ATUAÇÃO</t>
  </si>
  <si>
    <t>CARGOS</t>
  </si>
  <si>
    <t>TÉCNICO PROFISSIONAL</t>
  </si>
  <si>
    <t>ESPECIALISTA</t>
  </si>
  <si>
    <t>CONSULTOR</t>
  </si>
  <si>
    <t>AUDITOR DE
CONTROLE
EXTERNO</t>
  </si>
  <si>
    <t>TÉCNICO DE
CONTROLE
EXTERNO</t>
  </si>
  <si>
    <t>AUXILIAR DE
CONTROLE
EXTERNO</t>
  </si>
  <si>
    <t>CLASSE</t>
  </si>
  <si>
    <t>REFERÊNCIA</t>
  </si>
  <si>
    <t>VENCIMENTO BÁSICO</t>
  </si>
  <si>
    <t>I</t>
  </si>
  <si>
    <t>A</t>
  </si>
  <si>
    <t>B</t>
  </si>
  <si>
    <t>C</t>
  </si>
  <si>
    <t>D</t>
  </si>
  <si>
    <t>E</t>
  </si>
  <si>
    <t>F</t>
  </si>
  <si>
    <t>II</t>
  </si>
  <si>
    <t>ESPECIAL</t>
  </si>
  <si>
    <t>II - Vencimento Básico da Carreira de Apoio Técnico e Administrativo de nível superior</t>
  </si>
  <si>
    <t>ANALISTA
ADMINISTRATIVO</t>
  </si>
  <si>
    <t>ANALISTA DE
TECNOLOGIA
DA
INFORMAÇÃO</t>
  </si>
  <si>
    <t>III - Vencimento Básico da Carreira de Apoio Técnico e Administrativo dos Cargos de Nível Médio de Técnico de Informática e Técnico Administrativo</t>
  </si>
  <si>
    <t>TÉCNICO DE
INFORMÁTICA</t>
  </si>
  <si>
    <t>TÉCNICO
ADMINISTRATIVO</t>
  </si>
  <si>
    <t>IV- Vencimento Básico da Carreira de Apoio Técnico e Administrativo dos Cargos de Nível Médio de Agente Operacional e dos Cargos de Nível Fundamental de Auxiliar Administrativo e Digitador</t>
  </si>
  <si>
    <t>AGENTE OPERACIONAL</t>
  </si>
  <si>
    <t>AUXILIAR
ADMINISTRATIVO</t>
  </si>
  <si>
    <t>DIGITADOR</t>
  </si>
  <si>
    <t>GRATIFICAÇÕES E AUXÍLIOS</t>
  </si>
  <si>
    <t>ANEXO VII - GRATIFICAÇÕES E AUXÍLIOS</t>
  </si>
  <si>
    <t>DENOMINAÇÃO</t>
  </si>
  <si>
    <t>DEFINIÇÃO</t>
  </si>
  <si>
    <t>BASE DE
CONCESSÃO</t>
  </si>
  <si>
    <t>OBSERVAÇÕES</t>
  </si>
  <si>
    <t>Gratificação de Representação</t>
  </si>
  <si>
    <t>Devida ao Servidor efetivo ocupante de cargo do grupo de Chefia, Direção e Assessoramento Superior TC/CDS – 100, nos termos do artigo 26.</t>
  </si>
  <si>
    <t>50% do valor da remuneração do cargo em comissão constante no Anexo IX.</t>
  </si>
  <si>
    <t>Dispensa regulamentação</t>
  </si>
  <si>
    <t>Auxílio-Saúde</t>
  </si>
  <si>
    <t xml:space="preserve">Destinado a subsidiar despesas com assistência à saúde dos agentes públicos em atividade.
O auxílio-saúde, de natureza indenizatória, será destinado a ressarcir os gastos com plano ou seguro oneroso de assistência à saúde, é devido a partir da data do requerimento, instruído com documento comprobatório de contratação e último comprovante de pagamento.
</t>
  </si>
  <si>
    <t xml:space="preserve">QUOTA PRINCIPAL (BENEFICIÁRIO)
FAIXA ETÁRIA DO AGENTE PÚBLICO
ATÉ 34 ANOS              - Valor R$ 1.603,48      
35 A 54 ANOS             - Valor R$ 1.845,00      
55 ANOS OU MAIS     - Valor R$ 2.091,00
QUOTA ADICIONAL POR DEPENDENTE (ATÉ 3) - R$ 615,00
LIMITE TOTAL POR AGENTE PÚBLICO  - R$ 3.444,00
</t>
  </si>
  <si>
    <t>Resolução n. 431/2025/TCE-RO</t>
  </si>
  <si>
    <t>Auxílio-Alimentação</t>
  </si>
  <si>
    <t>Destinado a subsidiar despesas com refeição, dos agentes públicos em atividade.
O auxílio-alimentação, de natureza indenizatória, será concedido em pecúnia ao agente público do Tribunal de Contas do Estado e do Ministério Público de Contas, a partir do efetivo exercício.</t>
  </si>
  <si>
    <t>Resolução n. 435/2025/TCE-RO</t>
  </si>
  <si>
    <t>Auxílio-Transporte</t>
  </si>
  <si>
    <t xml:space="preserve">Devido a todos os Servidores ativos para fazer face às despesas com transportes e condução utilizados para o deslocamento, trabalho/residência/trabalho ou no cumprimento de ordem e serviço.
O auxílio-transporte, de natureza indenizatória, visa a custear as despesas com deslocamentos no percurso da residência ao local de trabalho e vice-versa, será pago aos servidores públicos deste Tribunal de Contas, no valor diário que consta do Anexo Único  da Resolução  413/2024/TCE-RO.
</t>
  </si>
  <si>
    <t>Gratificação de atividade de docência</t>
  </si>
  <si>
    <t>Concedida ao agente público ou ao profissional contratado na forma da resolução que, na qualidade de instrutor, acumular o pleno exercício das atividades do seu cargo com atividades de docência para o público interno, externo e jurisdicionados do Tribunal de Contas do Estado, com pagamento Efetuado em forma de hora -aula, cujo valor será discriminado por nível de habilitação profissional.</t>
  </si>
  <si>
    <t>Concedida na forma da Lei Complementar nº 591, de 22 de novembro de 2010.</t>
  </si>
  <si>
    <t>Resolução n. 333/2020/TCE-RO</t>
  </si>
  <si>
    <t>Gratificação Temporária de trabalhos extraordinários</t>
  </si>
  <si>
    <t>Visa gratificar o agente público, por tempo determinado, em razão de tarefas especiais mediante prévia designação de Presidência do Tribunal.</t>
  </si>
  <si>
    <t>Resolução n. 306/2019/TCE-RO</t>
  </si>
  <si>
    <t>Gratificação de Comissão de Licitação e Pregoeiro</t>
  </si>
  <si>
    <t>Visa gratificar os servidores designados para ser pregoeiro, presidente da comissão de licitação, compor comissão de licitação ou equipe de apoio ao Pregoeiro.</t>
  </si>
  <si>
    <t>Presidente R$ 2.303,06 Membro R$ 1.663,32</t>
  </si>
  <si>
    <t>Devido aos servidores designados para compor Comissão de Licitação e ao Pregoeiro. Reajustável na mesma data e índices concedidos aos servidores do Tribunal. Dispensa regulamentação.</t>
  </si>
  <si>
    <t>Gratificação de Comissão Disciplinar</t>
  </si>
  <si>
    <t>Devida ao servidor efetivo e estável designado para atuar como presidente ou membro de Comissão de Sindicância ou de Comissão Permanente de Processo Administrativo Disciplinar.</t>
  </si>
  <si>
    <t>Reajustável na mesma data e Índices concedidos aos Servidores do Tribunal. Dispensa regulamentação.</t>
  </si>
  <si>
    <t>Gratificação Especial de Segurança Institucional</t>
  </si>
  <si>
    <t>Devida ao servidor efetivo requisitado para exercer atividades de segurança institucional no Tribunal de Contas do Estado, concedida enquanto perdurara necessidade excepcional de segurança.</t>
  </si>
  <si>
    <t>Resolução n. 306/2019/TCE-RO e Atualizações Legais</t>
  </si>
  <si>
    <t>Gratificação de Comissão de Redação</t>
  </si>
  <si>
    <t>Devida aos servidores designados para compor a Comissão de Redação e Atualização de Normas.</t>
  </si>
  <si>
    <t>Gratificação de Comissão de Gestão de Desempenho</t>
  </si>
  <si>
    <t>Devida ao servidor designado para atuar como presidente ou membro da Comissão de Gestão de Desempenho</t>
  </si>
  <si>
    <t>Concedida na forma da Lei Complementar nº 786, de 15 de julho de 2014. Presidente R$ 2.303,06 Membro R$ 1.663,32</t>
  </si>
  <si>
    <t>Auxílio-Creche e
Educação</t>
  </si>
  <si>
    <t>Visa subsidiar despesas assistenciais na primeira infância e com educação.</t>
  </si>
  <si>
    <t>QUOTA POR DEPENDENTE (ATÉ 3) - R$ 750,00
LIMITE TOTAL POR AGENTE PÚBLICO - R$ 2.250,00
QUOTA SUPLEMENTAR POR DEPENDENTE COM DEFICIÊNCIA  - R$ 375,00
LIMITE TOTAL POR AGENTE PÚBLICO COM
DEPENDENTE(S) COM DEFICIÊNCIA (ATÉ 3)  - R$ 3.375,00</t>
  </si>
  <si>
    <t>Auxílio-Funeral</t>
  </si>
  <si>
    <t>Destinado a subsidiar despesas e gastos com o funeral de agentes públicos ativos.</t>
  </si>
  <si>
    <t>2 MESES DE REMUNERAÇÃO A QUE TERIA DIREITO O  AGENTE PÚBLICO NO MÊS DO FALECIMENTO, EXCLUÍDAS PARCELAS INDENIZATÓRIAS.
MÍNIMO: R$ 30.000,00 (trinta mil reais)</t>
  </si>
  <si>
    <t>Gratificação de Atividade em Folha de Pagamento</t>
  </si>
  <si>
    <t>Devida ao servidor não ocupante de cargo em comissão ou função gratificada, lotado e em exercício exclusivo na unidade competente pelo processamento e gerenciamento das folhas de pagamento do Tribunal de Contas.</t>
  </si>
  <si>
    <t xml:space="preserve">Reajustável na mesma data e índices concedidos aos servidores do Tribunal. 
Dispensa regulamentação </t>
  </si>
  <si>
    <t>VALOR DA GRATIFICAÇÃO DE RESULTADOS E DE QUALIFICAÇÃO</t>
  </si>
  <si>
    <t>ANEXO VIII - VALOR DA GRATIFICAÇÃO DE RESULTADOS E DE QUALIFICAÇÃO</t>
  </si>
  <si>
    <t>I - Gratificação de Resultados</t>
  </si>
  <si>
    <t>A partir de abril/2025</t>
  </si>
  <si>
    <t>Total</t>
  </si>
  <si>
    <t>Inst. (10)%</t>
  </si>
  <si>
    <t>Set. (30%)</t>
  </si>
  <si>
    <t>Ind. (60%)</t>
  </si>
  <si>
    <t>Auditor de Controle Externo</t>
  </si>
  <si>
    <t>Técnico de Controle Externo</t>
  </si>
  <si>
    <t>Auxiliar de Controle Externo</t>
  </si>
  <si>
    <t>Analista Administrativo e de Tecnologia da Informação</t>
  </si>
  <si>
    <t>Técnico Administrativo</t>
  </si>
  <si>
    <t>Técnico de Informática (em extinção)</t>
  </si>
  <si>
    <t>Auxiliar Administrativo e Digitador (em extinção)</t>
  </si>
  <si>
    <t>Agente Operacional (em extinção)</t>
  </si>
  <si>
    <t>II - Gratificação de Qualificação</t>
  </si>
  <si>
    <t>Quadro I – Cargos de Nível Superior</t>
  </si>
  <si>
    <t>Cargos</t>
  </si>
  <si>
    <t>Classe</t>
  </si>
  <si>
    <t>Referência</t>
  </si>
  <si>
    <t>Valores conforme o Diploma apresentado</t>
  </si>
  <si>
    <t>Especialização</t>
  </si>
  <si>
    <t>Mestrado</t>
  </si>
  <si>
    <t>Doutorado</t>
  </si>
  <si>
    <t>Auditor de Controle Externo
Analista Administrativo 
Analista de Tecnologia da Informação
Procurador Jurídico</t>
  </si>
  <si>
    <t>Especial</t>
  </si>
  <si>
    <t>Quadro II – Cargos de Nível Médio</t>
  </si>
  <si>
    <t>Cargos de Nível Médio</t>
  </si>
  <si>
    <t>Cargo</t>
  </si>
  <si>
    <t>Classes</t>
  </si>
  <si>
    <t>Referências</t>
  </si>
  <si>
    <t>Graduação
de Nível Superior</t>
  </si>
  <si>
    <t>Técnico de Controle Externo
Técnico Administrativo</t>
  </si>
  <si>
    <t>Técnico de Informática – em extinção</t>
  </si>
  <si>
    <t>Agente Operacional – em extinção</t>
  </si>
  <si>
    <t xml:space="preserve"> </t>
  </si>
  <si>
    <t>Quadro III – Cargos de Nível Fundamental</t>
  </si>
  <si>
    <t>Cargos de Nível Fundamental</t>
  </si>
  <si>
    <t>Auxiliar de Controle Externo – em extinção
Auxiliar Administrativo – em extinção
Digitador – em extinção</t>
  </si>
  <si>
    <t>REMUNERAÇÃO DOS CARGOS - CÓDIGO TC/CDS</t>
  </si>
  <si>
    <t>ANEXO IX</t>
  </si>
  <si>
    <t>REMUNERAÇÃO DOS CARGOS DO GRUPO DE CHEFIA, DIREÇÃO E ASSESSORAMENTO - CÓDIGO TC/CDS</t>
  </si>
  <si>
    <t>CÓDIGO</t>
  </si>
  <si>
    <t>VALOR EM REAIS</t>
  </si>
  <si>
    <t>Valor da Representação</t>
  </si>
  <si>
    <t>TC/CDS-1</t>
  </si>
  <si>
    <t>TC/CDS-2</t>
  </si>
  <si>
    <t>TC/CDS-3</t>
  </si>
  <si>
    <t>TC/CDS-4</t>
  </si>
  <si>
    <t>TC/CDS-5</t>
  </si>
  <si>
    <t>TC/CDS-6</t>
  </si>
  <si>
    <t>TC/CDS-7</t>
  </si>
  <si>
    <t>TC/CDS-8</t>
  </si>
  <si>
    <t>TC/CDS-9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</si>
</sst>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R$&quot;#,##0.00;[Red]\-&quot;R$&quot;#,##0.00"/>
    <numFmt numFmtId="165" formatCode="###0;###0"/>
    <numFmt numFmtId="166" formatCode="###0.00;###0.00"/>
    <numFmt numFmtId="167" formatCode="#,##0.00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94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1" xfId="0" applyNumberFormat="1" applyFont="1" applyFill="1" applyBorder="1" applyAlignment="1">
      <alignment horizontal="center"/>
    </xf>
    <xf numFmtId="43" fontId="3" fillId="0" borderId="2" xfId="0" applyNumberFormat="1" applyFont="1" applyFill="1" applyBorder="1" applyAlignment="1">
      <alignment horizontal="center"/>
    </xf>
    <xf numFmtId="17" fontId="3" fillId="0" borderId="3" xfId="0" applyNumberFormat="1" applyFont="1" applyBorder="1" applyAlignment="1">
      <alignment horizontal="left" vertical="center"/>
    </xf>
    <xf numFmtId="43" fontId="3" fillId="0" borderId="1" xfId="0" applyNumberFormat="1" applyFont="1" applyFill="1" applyBorder="1" applyAlignment="1">
      <alignment horizontal="left"/>
    </xf>
    <xf numFmtId="43" fontId="3" fillId="0" borderId="2" xfId="0" applyNumberFormat="1" applyFont="1" applyFill="1" applyBorder="1" applyAlignment="1">
      <alignment horizontal="left"/>
    </xf>
    <xf numFmtId="43" fontId="3" fillId="0" borderId="3" xfId="0" applyNumberFormat="1" applyFont="1" applyFill="1" applyBorder="1"/>
    <xf numFmtId="0" fontId="4" fillId="0" borderId="3" xfId="2" applyFont="1" applyFill="1" applyBorder="1" applyAlignment="1">
      <alignment horizontal="left" wrapText="1"/>
    </xf>
    <xf numFmtId="0" fontId="4" fillId="0" borderId="3" xfId="2" applyFont="1" applyFill="1" applyBorder="1" applyAlignment="1">
      <alignment horizontal="left"/>
    </xf>
    <xf numFmtId="1" fontId="4" fillId="0" borderId="3" xfId="2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3" xfId="2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left" wrapText="1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4" fontId="0" fillId="0" borderId="3" xfId="0" applyNumberFormat="1" applyBorder="1"/>
    <xf numFmtId="4" fontId="0" fillId="0" borderId="3" xfId="0" applyNumberFormat="1" applyFill="1" applyBorder="1"/>
    <xf numFmtId="4" fontId="0" fillId="0" borderId="0" xfId="0" applyNumberFormat="1"/>
    <xf numFmtId="0" fontId="0" fillId="0" borderId="3" xfId="0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Fill="1" applyBorder="1"/>
    <xf numFmtId="0" fontId="7" fillId="0" borderId="3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3" xfId="0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64" fontId="6" fillId="0" borderId="3" xfId="1" applyNumberFormat="1" applyFont="1" applyFill="1" applyBorder="1" applyAlignment="1">
      <alignment horizontal="right" vertical="center" wrapText="1"/>
    </xf>
    <xf numFmtId="43" fontId="6" fillId="0" borderId="3" xfId="1" applyFont="1" applyFill="1" applyBorder="1" applyAlignment="1">
      <alignment horizontal="right" vertical="center" wrapText="1"/>
    </xf>
    <xf numFmtId="0" fontId="0" fillId="0" borderId="3" xfId="0" applyFill="1" applyBorder="1" applyAlignment="1">
      <alignment horizontal="left" vertical="center" wrapText="1"/>
    </xf>
    <xf numFmtId="164" fontId="0" fillId="0" borderId="3" xfId="0" applyNumberFormat="1" applyFill="1" applyBorder="1" applyAlignment="1">
      <alignment horizontal="right" vertical="center" wrapText="1"/>
    </xf>
    <xf numFmtId="0" fontId="0" fillId="0" borderId="3" xfId="0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 wrapText="1"/>
    </xf>
    <xf numFmtId="165" fontId="5" fillId="3" borderId="9" xfId="0" applyNumberFormat="1" applyFont="1" applyFill="1" applyBorder="1" applyAlignment="1">
      <alignment vertical="top"/>
    </xf>
    <xf numFmtId="165" fontId="5" fillId="3" borderId="10" xfId="0" applyNumberFormat="1" applyFont="1" applyFill="1" applyBorder="1" applyAlignment="1">
      <alignment vertical="top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top"/>
    </xf>
    <xf numFmtId="0" fontId="7" fillId="0" borderId="3" xfId="0" applyFont="1" applyBorder="1" applyAlignment="1">
      <alignment horizontal="left" vertical="top" wrapText="1"/>
    </xf>
    <xf numFmtId="166" fontId="7" fillId="0" borderId="10" xfId="0" applyNumberFormat="1" applyFont="1" applyFill="1" applyBorder="1" applyAlignment="1">
      <alignment horizontal="center" vertical="center"/>
    </xf>
    <xf numFmtId="2" fontId="0" fillId="0" borderId="0" xfId="0" applyNumberFormat="1"/>
    <xf numFmtId="43" fontId="0" fillId="0" borderId="0" xfId="1" applyFont="1"/>
    <xf numFmtId="166" fontId="0" fillId="0" borderId="0" xfId="0" applyNumberFormat="1"/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166" fontId="7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166" fontId="7" fillId="0" borderId="0" xfId="0" applyNumberFormat="1" applyFont="1" applyBorder="1" applyAlignment="1">
      <alignment horizontal="center" vertical="center" wrapText="1"/>
    </xf>
    <xf numFmtId="166" fontId="7" fillId="0" borderId="0" xfId="0" applyNumberFormat="1" applyFont="1" applyBorder="1" applyAlignment="1">
      <alignment horizontal="left" vertical="center" wrapText="1"/>
    </xf>
    <xf numFmtId="167" fontId="7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left" vertical="top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6" fontId="7" fillId="0" borderId="2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3" fontId="7" fillId="0" borderId="2" xfId="1" applyFont="1" applyBorder="1" applyAlignment="1">
      <alignment horizontal="right" vertical="center" wrapText="1"/>
    </xf>
    <xf numFmtId="0" fontId="4" fillId="0" borderId="0" xfId="3" applyFont="1" applyFill="1" applyBorder="1"/>
    <xf numFmtId="43" fontId="7" fillId="0" borderId="2" xfId="1" applyFont="1" applyFill="1" applyBorder="1" applyAlignment="1">
      <alignment horizontal="right" vertical="center" wrapText="1"/>
    </xf>
  </cellXfs>
  <cellStyles count="4">
    <cellStyle name="Normal" xfId="0" builtinId="0"/>
    <cellStyle name="Normal 2" xfId="2"/>
    <cellStyle name="Normal 3" xfId="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B2:N302"/>
  <sheetViews>
    <sheetView showGridLines="0" tabSelected="1" topLeftCell="D118" zoomScaleNormal="100" workbookViewId="0">
      <selection activeCell="H136" sqref="H136:J136"/>
    </sheetView>
  </sheetViews>
  <sheetFormatPr defaultRowHeight="15" x14ac:dyDescent="0.25"/>
  <cols>
    <col min="2" max="2" width="28.28515625" customWidth="1"/>
    <col min="3" max="3" width="24" customWidth="1"/>
    <col min="4" max="4" width="22.28515625" customWidth="1"/>
    <col min="5" max="5" width="21.85546875" customWidth="1"/>
    <col min="6" max="6" width="21.7109375" customWidth="1"/>
    <col min="7" max="7" width="20" customWidth="1"/>
    <col min="8" max="8" width="16.5703125" customWidth="1"/>
    <col min="9" max="9" width="16.42578125" customWidth="1"/>
    <col min="10" max="10" width="16.28515625" customWidth="1"/>
    <col min="11" max="11" width="12.42578125" customWidth="1"/>
    <col min="12" max="14" width="10.5703125" bestFit="1" customWidth="1"/>
  </cols>
  <sheetData>
    <row r="2" spans="2:9" ht="21" x14ac:dyDescent="0.35">
      <c r="B2" s="1" t="s">
        <v>0</v>
      </c>
      <c r="C2" s="1"/>
      <c r="D2" s="1"/>
      <c r="E2" s="1"/>
      <c r="F2" s="1"/>
      <c r="G2" s="1"/>
      <c r="H2" s="1"/>
      <c r="I2" s="1"/>
    </row>
    <row r="5" spans="2:9" x14ac:dyDescent="0.25">
      <c r="B5" s="2" t="s">
        <v>1</v>
      </c>
      <c r="C5" s="3"/>
      <c r="D5" s="4" t="s">
        <v>2</v>
      </c>
      <c r="E5" s="4" t="s">
        <v>3</v>
      </c>
      <c r="F5" s="4" t="s">
        <v>4</v>
      </c>
    </row>
    <row r="6" spans="2:9" x14ac:dyDescent="0.25">
      <c r="B6" s="5" t="s">
        <v>5</v>
      </c>
      <c r="C6" s="6"/>
      <c r="D6" s="7">
        <v>37589.96</v>
      </c>
      <c r="E6" s="7">
        <v>39717.69</v>
      </c>
      <c r="F6" s="7">
        <v>41845.49</v>
      </c>
    </row>
    <row r="7" spans="2:9" x14ac:dyDescent="0.25">
      <c r="B7" s="5" t="s">
        <v>6</v>
      </c>
      <c r="C7" s="6"/>
      <c r="D7" s="7">
        <v>35710.46</v>
      </c>
      <c r="E7" s="7">
        <v>37731.800000000003</v>
      </c>
      <c r="F7" s="7">
        <v>39753.21</v>
      </c>
    </row>
    <row r="8" spans="2:9" x14ac:dyDescent="0.25">
      <c r="B8" t="s">
        <v>7</v>
      </c>
    </row>
    <row r="10" spans="2:9" x14ac:dyDescent="0.25">
      <c r="B10" s="8" t="s">
        <v>8</v>
      </c>
      <c r="C10" s="9" t="s">
        <v>9</v>
      </c>
      <c r="D10" s="9"/>
      <c r="E10" s="9"/>
      <c r="F10" s="10" t="s">
        <v>10</v>
      </c>
    </row>
    <row r="11" spans="2:9" x14ac:dyDescent="0.25">
      <c r="B11" s="8"/>
      <c r="C11" s="9" t="s">
        <v>11</v>
      </c>
      <c r="D11" s="9"/>
      <c r="E11" s="9"/>
      <c r="F11" s="10" t="s">
        <v>12</v>
      </c>
    </row>
    <row r="12" spans="2:9" x14ac:dyDescent="0.25">
      <c r="B12" s="11" t="s">
        <v>13</v>
      </c>
      <c r="C12" s="12"/>
      <c r="D12" s="12"/>
      <c r="E12" s="13"/>
    </row>
    <row r="13" spans="2:9" x14ac:dyDescent="0.25">
      <c r="B13" s="13"/>
      <c r="C13" s="13"/>
      <c r="D13" s="14"/>
      <c r="E13" s="13"/>
    </row>
    <row r="14" spans="2:9" ht="28.5" customHeight="1" x14ac:dyDescent="0.25">
      <c r="B14" s="15" t="s">
        <v>14</v>
      </c>
      <c r="C14" s="9" t="s">
        <v>15</v>
      </c>
      <c r="D14" s="9"/>
      <c r="E14" s="9"/>
      <c r="F14" s="10" t="s">
        <v>10</v>
      </c>
    </row>
    <row r="15" spans="2:9" ht="47.25" customHeight="1" x14ac:dyDescent="0.25">
      <c r="B15" s="15"/>
      <c r="C15" s="15" t="s">
        <v>16</v>
      </c>
      <c r="D15" s="15"/>
      <c r="E15" s="15"/>
      <c r="F15" s="10" t="s">
        <v>12</v>
      </c>
    </row>
    <row r="16" spans="2:9" ht="31.5" customHeight="1" x14ac:dyDescent="0.25">
      <c r="B16" s="16" t="s">
        <v>17</v>
      </c>
      <c r="C16" s="12"/>
      <c r="D16" s="12"/>
      <c r="E16" s="13"/>
    </row>
    <row r="17" spans="2:9" x14ac:dyDescent="0.25">
      <c r="B17" s="13"/>
      <c r="C17" s="13"/>
      <c r="D17" s="14"/>
      <c r="E17" s="13"/>
    </row>
    <row r="18" spans="2:9" x14ac:dyDescent="0.25">
      <c r="B18" s="17" t="s">
        <v>18</v>
      </c>
      <c r="C18" s="17"/>
      <c r="D18" s="14"/>
      <c r="E18" s="13"/>
    </row>
    <row r="19" spans="2:9" ht="31.5" customHeight="1" x14ac:dyDescent="0.25">
      <c r="B19" s="18" t="s">
        <v>19</v>
      </c>
      <c r="C19" s="19"/>
      <c r="D19" s="14"/>
      <c r="E19" s="13"/>
    </row>
    <row r="20" spans="2:9" x14ac:dyDescent="0.25">
      <c r="B20" s="20" t="s">
        <v>20</v>
      </c>
      <c r="C20" s="13"/>
      <c r="D20" s="14"/>
      <c r="E20" s="13"/>
    </row>
    <row r="21" spans="2:9" x14ac:dyDescent="0.25">
      <c r="B21" s="13"/>
      <c r="C21" s="13"/>
      <c r="D21" s="13"/>
      <c r="E21" s="13"/>
    </row>
    <row r="24" spans="2:9" ht="21" x14ac:dyDescent="0.35">
      <c r="B24" s="1" t="s">
        <v>21</v>
      </c>
      <c r="C24" s="1"/>
      <c r="D24" s="1"/>
      <c r="E24" s="1"/>
      <c r="F24" s="1"/>
      <c r="G24" s="1"/>
      <c r="H24" s="1"/>
      <c r="I24" s="1"/>
    </row>
    <row r="27" spans="2:9" x14ac:dyDescent="0.25">
      <c r="B27" s="21" t="s">
        <v>22</v>
      </c>
      <c r="C27" s="21"/>
      <c r="D27" s="21"/>
      <c r="E27" s="21"/>
      <c r="F27" s="21"/>
      <c r="G27" s="21"/>
      <c r="H27" s="21"/>
      <c r="I27" s="21"/>
    </row>
    <row r="29" spans="2:9" x14ac:dyDescent="0.25">
      <c r="B29" s="22" t="s">
        <v>23</v>
      </c>
      <c r="C29" s="22"/>
      <c r="D29" s="22"/>
      <c r="E29" s="22"/>
      <c r="F29" s="22"/>
      <c r="G29" s="22"/>
      <c r="H29" s="22"/>
      <c r="I29" s="22"/>
    </row>
    <row r="30" spans="2:9" x14ac:dyDescent="0.25">
      <c r="B30" s="23" t="s">
        <v>24</v>
      </c>
      <c r="C30" s="23"/>
      <c r="D30" s="22" t="s">
        <v>25</v>
      </c>
      <c r="E30" s="22"/>
      <c r="F30" s="22"/>
      <c r="G30" s="23" t="s">
        <v>26</v>
      </c>
      <c r="H30" s="23"/>
      <c r="I30" s="24" t="s">
        <v>27</v>
      </c>
    </row>
    <row r="31" spans="2:9" ht="45" x14ac:dyDescent="0.25">
      <c r="B31" s="23"/>
      <c r="C31" s="23"/>
      <c r="D31" s="25" t="s">
        <v>28</v>
      </c>
      <c r="E31" s="26" t="s">
        <v>29</v>
      </c>
      <c r="F31" s="26" t="s">
        <v>30</v>
      </c>
      <c r="G31" s="26" t="s">
        <v>28</v>
      </c>
      <c r="H31" s="26" t="s">
        <v>29</v>
      </c>
      <c r="I31" s="26" t="s">
        <v>28</v>
      </c>
    </row>
    <row r="32" spans="2:9" ht="55.5" customHeight="1" x14ac:dyDescent="0.25">
      <c r="B32" s="27" t="s">
        <v>31</v>
      </c>
      <c r="C32" s="27" t="s">
        <v>32</v>
      </c>
      <c r="D32" s="27" t="s">
        <v>33</v>
      </c>
      <c r="E32" s="27" t="s">
        <v>33</v>
      </c>
      <c r="F32" s="27" t="s">
        <v>33</v>
      </c>
      <c r="G32" s="27" t="s">
        <v>33</v>
      </c>
      <c r="H32" s="27" t="s">
        <v>33</v>
      </c>
      <c r="I32" s="27" t="s">
        <v>33</v>
      </c>
    </row>
    <row r="33" spans="2:10" x14ac:dyDescent="0.25">
      <c r="B33" s="28" t="s">
        <v>34</v>
      </c>
      <c r="C33" s="29" t="s">
        <v>35</v>
      </c>
      <c r="D33" s="30">
        <f>8686.95*(ROUND(1.05,2))</f>
        <v>9121.2975000000006</v>
      </c>
      <c r="E33" s="31">
        <f>4421.49*(ROUND(1.05,2))</f>
        <v>4642.5645000000004</v>
      </c>
      <c r="F33" s="31">
        <f>2815.81*(ROUND(1.05,2))</f>
        <v>2956.6005</v>
      </c>
      <c r="G33" s="30">
        <f t="shared" ref="G33:I41" si="0">0*(ROUND(1.05,2))</f>
        <v>0</v>
      </c>
      <c r="H33" s="30">
        <f t="shared" si="0"/>
        <v>0</v>
      </c>
      <c r="I33" s="30">
        <f t="shared" si="0"/>
        <v>0</v>
      </c>
      <c r="J33" s="32"/>
    </row>
    <row r="34" spans="2:10" x14ac:dyDescent="0.25">
      <c r="B34" s="28"/>
      <c r="C34" s="29" t="s">
        <v>36</v>
      </c>
      <c r="D34" s="30">
        <f>8947.56*(ROUND(1.05,2))</f>
        <v>9394.9380000000001</v>
      </c>
      <c r="E34" s="31">
        <f>4554.13*(ROUND(1.05,2))</f>
        <v>4781.8365000000003</v>
      </c>
      <c r="F34" s="31">
        <f>2900.28*(ROUND(1.05,2))</f>
        <v>3045.2940000000003</v>
      </c>
      <c r="G34" s="30">
        <f t="shared" si="0"/>
        <v>0</v>
      </c>
      <c r="H34" s="30">
        <f t="shared" si="0"/>
        <v>0</v>
      </c>
      <c r="I34" s="30">
        <f t="shared" si="0"/>
        <v>0</v>
      </c>
      <c r="J34" s="32"/>
    </row>
    <row r="35" spans="2:10" x14ac:dyDescent="0.25">
      <c r="B35" s="28"/>
      <c r="C35" s="29" t="s">
        <v>37</v>
      </c>
      <c r="D35" s="30">
        <f>9215.99*(ROUND(1.05,2))</f>
        <v>9676.7895000000008</v>
      </c>
      <c r="E35" s="31">
        <f>4690.75*(ROUND(1.05,2))</f>
        <v>4925.2875000000004</v>
      </c>
      <c r="F35" s="31">
        <f>2987.28*(ROUND(1.05,2))</f>
        <v>3136.6440000000002</v>
      </c>
      <c r="G35" s="30">
        <f t="shared" si="0"/>
        <v>0</v>
      </c>
      <c r="H35" s="30">
        <f t="shared" si="0"/>
        <v>0</v>
      </c>
      <c r="I35" s="30">
        <f t="shared" si="0"/>
        <v>0</v>
      </c>
      <c r="J35" s="32"/>
    </row>
    <row r="36" spans="2:10" x14ac:dyDescent="0.25">
      <c r="B36" s="28"/>
      <c r="C36" s="29" t="s">
        <v>38</v>
      </c>
      <c r="D36" s="30">
        <f>9492.47*(ROUND(1.05,2))</f>
        <v>9967.093499999999</v>
      </c>
      <c r="E36" s="31">
        <f>4831.49*(ROUND(1.05,2))</f>
        <v>5073.0645000000004</v>
      </c>
      <c r="F36" s="31">
        <f>3076.9*(ROUND(1.05,2))</f>
        <v>3230.7450000000003</v>
      </c>
      <c r="G36" s="30">
        <f>10916.32*(ROUND(1.05,2))</f>
        <v>11462.136</v>
      </c>
      <c r="H36" s="30">
        <f>5556.2*(ROUND(1.05,2))</f>
        <v>5834.01</v>
      </c>
      <c r="I36" s="30">
        <f t="shared" si="0"/>
        <v>0</v>
      </c>
      <c r="J36" s="32"/>
    </row>
    <row r="37" spans="2:10" x14ac:dyDescent="0.25">
      <c r="B37" s="28"/>
      <c r="C37" s="29" t="s">
        <v>39</v>
      </c>
      <c r="D37" s="30">
        <f>9777.24*(ROUND(1.05,2))</f>
        <v>10266.102000000001</v>
      </c>
      <c r="E37" s="31">
        <f>4976.43*(ROUND(1.05,2))</f>
        <v>5225.2515000000003</v>
      </c>
      <c r="F37" s="31">
        <f>3169.21*(ROUND(1.05,2))</f>
        <v>3327.6705000000002</v>
      </c>
      <c r="G37" s="30">
        <f>11243.83*(ROUND(1.05,2))</f>
        <v>11806.021500000001</v>
      </c>
      <c r="H37" s="30">
        <f>5722.89*(ROUND(1.05,2))</f>
        <v>6009.0345000000007</v>
      </c>
      <c r="I37" s="30">
        <f t="shared" si="0"/>
        <v>0</v>
      </c>
      <c r="J37" s="32"/>
    </row>
    <row r="38" spans="2:10" x14ac:dyDescent="0.25">
      <c r="B38" s="28"/>
      <c r="C38" s="29" t="s">
        <v>40</v>
      </c>
      <c r="D38" s="30">
        <f>10070.55*(ROUND(1.05,2))</f>
        <v>10574.077499999999</v>
      </c>
      <c r="E38" s="31">
        <f>5125.72*(ROUND(1.05,2))</f>
        <v>5382.0060000000003</v>
      </c>
      <c r="F38" s="31">
        <f>3264.28*(ROUND(1.05,2))</f>
        <v>3427.4940000000001</v>
      </c>
      <c r="G38" s="30">
        <f>11581.14*(ROUND(1.05,2))</f>
        <v>12160.197</v>
      </c>
      <c r="H38" s="30">
        <f>5894.58*(ROUND(1.05,2))</f>
        <v>6189.3090000000002</v>
      </c>
      <c r="I38" s="30">
        <f t="shared" si="0"/>
        <v>0</v>
      </c>
      <c r="J38" s="32"/>
    </row>
    <row r="39" spans="2:10" x14ac:dyDescent="0.25">
      <c r="B39" s="33" t="s">
        <v>41</v>
      </c>
      <c r="C39" s="29" t="s">
        <v>35</v>
      </c>
      <c r="D39" s="30">
        <f>10574.09*(ROUND(1.05,2))</f>
        <v>11102.7945</v>
      </c>
      <c r="E39" s="31">
        <f>5382*(ROUND(1.05,2))</f>
        <v>5651.1</v>
      </c>
      <c r="F39" s="31">
        <f>3427.49*(ROUND(1.05,2))</f>
        <v>3598.8645000000001</v>
      </c>
      <c r="G39" s="30">
        <f>12160.2*(ROUND(1.05,2))</f>
        <v>12768.210000000001</v>
      </c>
      <c r="H39" s="30">
        <f>6189.31*(ROUND(1.05,2))</f>
        <v>6498.7755000000006</v>
      </c>
      <c r="I39" s="30">
        <f t="shared" si="0"/>
        <v>0</v>
      </c>
      <c r="J39" s="32"/>
    </row>
    <row r="40" spans="2:10" x14ac:dyDescent="0.25">
      <c r="B40" s="33"/>
      <c r="C40" s="29" t="s">
        <v>36</v>
      </c>
      <c r="D40" s="30">
        <f>10891.32*(ROUND(1.05,2))</f>
        <v>11435.886</v>
      </c>
      <c r="E40" s="31">
        <f>5543.46*(ROUND(1.05,2))</f>
        <v>5820.6330000000007</v>
      </c>
      <c r="F40" s="31">
        <f>3530.32*(ROUND(1.05,2))</f>
        <v>3706.8360000000002</v>
      </c>
      <c r="G40" s="30">
        <f>12525.01*(ROUND(1.05,2))</f>
        <v>13151.2605</v>
      </c>
      <c r="H40" s="30">
        <f>6374.99*(ROUND(1.05,2))</f>
        <v>6693.7394999999997</v>
      </c>
      <c r="I40" s="30">
        <f t="shared" si="0"/>
        <v>0</v>
      </c>
      <c r="J40" s="32"/>
    </row>
    <row r="41" spans="2:10" x14ac:dyDescent="0.25">
      <c r="B41" s="33"/>
      <c r="C41" s="29" t="s">
        <v>37</v>
      </c>
      <c r="D41" s="30">
        <f>11218.06*(ROUND(1.05,2))</f>
        <v>11778.963</v>
      </c>
      <c r="E41" s="31">
        <f>5709.77*(ROUND(1.05,2))</f>
        <v>5995.2585000000008</v>
      </c>
      <c r="F41" s="31">
        <f>3636.21*(ROUND(1.05,2))</f>
        <v>3818.0205000000001</v>
      </c>
      <c r="G41" s="30">
        <f>12900.77*(ROUND(1.05,2))</f>
        <v>13545.808500000001</v>
      </c>
      <c r="H41" s="30">
        <f>6566.24*(ROUND(1.05,2))</f>
        <v>6894.5519999999997</v>
      </c>
      <c r="I41" s="30">
        <f t="shared" si="0"/>
        <v>0</v>
      </c>
      <c r="J41" s="32"/>
    </row>
    <row r="42" spans="2:10" x14ac:dyDescent="0.25">
      <c r="B42" s="33"/>
      <c r="C42" s="29" t="s">
        <v>38</v>
      </c>
      <c r="D42" s="30">
        <f>11554.6*(ROUND(1.05,2))</f>
        <v>12132.330000000002</v>
      </c>
      <c r="E42" s="31">
        <f>5881.06*(ROUND(1.05,2))</f>
        <v>6175.1130000000003</v>
      </c>
      <c r="F42" s="31">
        <f>3745.3*(ROUND(1.05,2))</f>
        <v>3932.5650000000005</v>
      </c>
      <c r="G42" s="30">
        <f>13287.79*(ROUND(1.05,2))</f>
        <v>13952.179500000002</v>
      </c>
      <c r="H42" s="30">
        <f>6763.23*(ROUND(1.05,2))</f>
        <v>7101.3914999999997</v>
      </c>
      <c r="I42" s="30">
        <f>15280.95*(ROUND(1.05,2))</f>
        <v>16044.997500000001</v>
      </c>
      <c r="J42" s="32"/>
    </row>
    <row r="43" spans="2:10" x14ac:dyDescent="0.25">
      <c r="B43" s="33"/>
      <c r="C43" s="29" t="s">
        <v>39</v>
      </c>
      <c r="D43" s="30">
        <f>11901.24*(ROUND(1.05,2))</f>
        <v>12496.302</v>
      </c>
      <c r="E43" s="31">
        <f>6057.49*(ROUND(1.05,2))</f>
        <v>6360.3644999999997</v>
      </c>
      <c r="F43" s="31">
        <f>3857.66*(ROUND(1.05,2))</f>
        <v>4050.5430000000001</v>
      </c>
      <c r="G43" s="30">
        <f>13686.43*(ROUND(1.05,2))</f>
        <v>14370.7515</v>
      </c>
      <c r="H43" s="30">
        <f>6966.12*(ROUND(1.05,2))</f>
        <v>7314.4260000000004</v>
      </c>
      <c r="I43" s="30">
        <f>15739.38*(ROUND(1.05,2))</f>
        <v>16526.348999999998</v>
      </c>
      <c r="J43" s="32"/>
    </row>
    <row r="44" spans="2:10" x14ac:dyDescent="0.25">
      <c r="B44" s="33"/>
      <c r="C44" s="29" t="s">
        <v>40</v>
      </c>
      <c r="D44" s="30">
        <f>12258.27*(ROUND(1.05,2))</f>
        <v>12871.183500000001</v>
      </c>
      <c r="E44" s="31">
        <f>6239.21*(ROUND(1.05,2))</f>
        <v>6551.1705000000002</v>
      </c>
      <c r="F44" s="31">
        <f>3973.39*(ROUND(1.05,2))</f>
        <v>4172.0595000000003</v>
      </c>
      <c r="G44" s="30">
        <f>14097.02*(ROUND(1.05,2))</f>
        <v>14801.871000000001</v>
      </c>
      <c r="H44" s="30">
        <f>7175.11*(ROUND(1.05,2))</f>
        <v>7533.8654999999999</v>
      </c>
      <c r="I44" s="30">
        <f>16211.57*(ROUND(1.05,2))</f>
        <v>17022.148499999999</v>
      </c>
      <c r="J44" s="32"/>
    </row>
    <row r="45" spans="2:10" x14ac:dyDescent="0.25">
      <c r="B45" s="33" t="s">
        <v>42</v>
      </c>
      <c r="C45" s="29" t="s">
        <v>35</v>
      </c>
      <c r="D45" s="30">
        <f>12871.19*(ROUND(1.05,2))</f>
        <v>13514.749500000002</v>
      </c>
      <c r="E45" s="31">
        <f>6551.17*(ROUND(1.05,2))</f>
        <v>6878.7285000000002</v>
      </c>
      <c r="F45" s="31">
        <f>4172.07*(ROUND(1.05,2))</f>
        <v>4380.6734999999999</v>
      </c>
      <c r="G45" s="30">
        <f>14801.88*(ROUND(1.05,2))</f>
        <v>15541.974</v>
      </c>
      <c r="H45" s="30">
        <f>7533.86*(ROUND(1.05,2))</f>
        <v>7910.5529999999999</v>
      </c>
      <c r="I45" s="30">
        <f>17022.14*(ROUND(1.05,2))</f>
        <v>17873.246999999999</v>
      </c>
      <c r="J45" s="32"/>
    </row>
    <row r="46" spans="2:10" x14ac:dyDescent="0.25">
      <c r="B46" s="33"/>
      <c r="C46" s="29" t="s">
        <v>36</v>
      </c>
      <c r="D46" s="30">
        <f>13257.32*(ROUND(1.05,2))</f>
        <v>13920.186</v>
      </c>
      <c r="E46" s="31">
        <f>6747.72*(ROUND(1.05,2))</f>
        <v>7085.1060000000007</v>
      </c>
      <c r="F46" s="31">
        <f>4297.22*(ROUND(1.05,2))</f>
        <v>4512.0810000000001</v>
      </c>
      <c r="G46" s="30">
        <f>15245.93*(ROUND(1.05,2))</f>
        <v>16008.226500000001</v>
      </c>
      <c r="H46" s="30">
        <f>7759.9*(ROUND(1.05,2))</f>
        <v>8147.8949999999995</v>
      </c>
      <c r="I46" s="30">
        <f>17532.81*(ROUND(1.05,2))</f>
        <v>18409.450500000003</v>
      </c>
      <c r="J46" s="32"/>
    </row>
    <row r="47" spans="2:10" x14ac:dyDescent="0.25">
      <c r="B47" s="33"/>
      <c r="C47" s="29" t="s">
        <v>37</v>
      </c>
      <c r="D47" s="30">
        <f>13655.04*(ROUND(1.05,2))</f>
        <v>14337.792000000001</v>
      </c>
      <c r="E47" s="31">
        <f>6950.15*(ROUND(1.05,2))</f>
        <v>7297.6575000000003</v>
      </c>
      <c r="F47" s="31">
        <f>4426.14*(ROUND(1.05,2))</f>
        <v>4647.4470000000001</v>
      </c>
      <c r="G47" s="30">
        <f>15703.32*(ROUND(1.05,2))</f>
        <v>16488.486000000001</v>
      </c>
      <c r="H47" s="30">
        <f>7992.68*(ROUND(1.05,2))</f>
        <v>8392.3140000000003</v>
      </c>
      <c r="I47" s="30">
        <f>18058.8*(ROUND(1.05,2))</f>
        <v>18961.740000000002</v>
      </c>
      <c r="J47" s="32"/>
    </row>
    <row r="48" spans="2:10" x14ac:dyDescent="0.25">
      <c r="B48" s="33"/>
      <c r="C48" s="29" t="s">
        <v>38</v>
      </c>
      <c r="D48" s="30">
        <f>14064.7*(ROUND(1.05,2))</f>
        <v>14767.935000000001</v>
      </c>
      <c r="E48" s="31">
        <f>7158.65*(ROUND(1.05,2))</f>
        <v>7516.5824999999995</v>
      </c>
      <c r="F48" s="31">
        <f>4558.92*(ROUND(1.05,2))</f>
        <v>4786.866</v>
      </c>
      <c r="G48" s="30">
        <f>16174.41*(ROUND(1.05,2))</f>
        <v>16983.130499999999</v>
      </c>
      <c r="H48" s="30">
        <f>8232.47*(ROUND(1.05,2))</f>
        <v>8644.093499999999</v>
      </c>
      <c r="I48" s="30">
        <f>18600.57*(ROUND(1.05,2))</f>
        <v>19530.5985</v>
      </c>
      <c r="J48" s="32"/>
    </row>
    <row r="49" spans="2:11" x14ac:dyDescent="0.25">
      <c r="B49" s="33"/>
      <c r="C49" s="29" t="s">
        <v>39</v>
      </c>
      <c r="D49" s="30">
        <f>14486.64*(ROUND(1.05,2))</f>
        <v>15210.972</v>
      </c>
      <c r="E49" s="31">
        <f>7373.4*(ROUND(1.05,2))</f>
        <v>7742.07</v>
      </c>
      <c r="F49" s="31">
        <f>4695.7*(ROUND(1.05,2))</f>
        <v>4930.4849999999997</v>
      </c>
      <c r="G49" s="30">
        <f>16659.63*(ROUND(1.05,2))</f>
        <v>17492.611500000003</v>
      </c>
      <c r="H49" s="30">
        <f>8479.45*(ROUND(1.05,2))</f>
        <v>8903.4225000000006</v>
      </c>
      <c r="I49" s="30">
        <f>19158.58*(ROUND(1.05,2))</f>
        <v>20116.509000000002</v>
      </c>
      <c r="J49" s="32"/>
    </row>
    <row r="50" spans="2:11" x14ac:dyDescent="0.25">
      <c r="B50" s="33"/>
      <c r="C50" s="29" t="s">
        <v>40</v>
      </c>
      <c r="D50" s="30">
        <f>14921.24*(ROUND(1.05,2))</f>
        <v>15667.302</v>
      </c>
      <c r="E50" s="31">
        <f>7594.61*(ROUND(1.05,2))</f>
        <v>7974.3405000000002</v>
      </c>
      <c r="F50" s="31">
        <f>4836.58*(ROUND(1.05,2))</f>
        <v>5078.4090000000006</v>
      </c>
      <c r="G50" s="30">
        <f>17159.42*(ROUND(1.05,2))</f>
        <v>18017.391</v>
      </c>
      <c r="H50" s="30">
        <f>8733.83*(ROUND(1.05,2))</f>
        <v>9170.5215000000007</v>
      </c>
      <c r="I50" s="30">
        <f>19733.32*(ROUND(1.05,2))</f>
        <v>20719.986000000001</v>
      </c>
      <c r="J50" s="32"/>
    </row>
    <row r="52" spans="2:11" x14ac:dyDescent="0.25">
      <c r="B52" s="21" t="s">
        <v>43</v>
      </c>
      <c r="C52" s="21"/>
      <c r="D52" s="21"/>
      <c r="E52" s="21"/>
      <c r="F52" s="21"/>
      <c r="G52" s="21"/>
      <c r="H52" s="21"/>
      <c r="I52" s="21"/>
    </row>
    <row r="54" spans="2:11" x14ac:dyDescent="0.25">
      <c r="B54" s="22" t="s">
        <v>23</v>
      </c>
      <c r="C54" s="22"/>
      <c r="D54" s="22"/>
      <c r="E54" s="22"/>
      <c r="F54" s="22"/>
      <c r="G54" s="22"/>
      <c r="H54" s="22"/>
      <c r="I54" s="22"/>
    </row>
    <row r="55" spans="2:11" x14ac:dyDescent="0.25">
      <c r="B55" s="23" t="s">
        <v>24</v>
      </c>
      <c r="C55" s="23"/>
      <c r="D55" s="24" t="s">
        <v>25</v>
      </c>
      <c r="E55" s="24"/>
      <c r="F55" s="23" t="s">
        <v>26</v>
      </c>
      <c r="G55" s="23"/>
      <c r="H55" s="22" t="s">
        <v>27</v>
      </c>
      <c r="I55" s="22"/>
    </row>
    <row r="56" spans="2:11" ht="60" x14ac:dyDescent="0.25">
      <c r="B56" s="23"/>
      <c r="C56" s="23"/>
      <c r="D56" s="25" t="s">
        <v>44</v>
      </c>
      <c r="E56" s="26" t="s">
        <v>45</v>
      </c>
      <c r="F56" s="25" t="s">
        <v>44</v>
      </c>
      <c r="G56" s="26" t="s">
        <v>45</v>
      </c>
      <c r="H56" s="25" t="s">
        <v>44</v>
      </c>
      <c r="I56" s="26" t="s">
        <v>45</v>
      </c>
    </row>
    <row r="57" spans="2:11" ht="30" x14ac:dyDescent="0.25">
      <c r="B57" s="27" t="s">
        <v>31</v>
      </c>
      <c r="C57" s="27" t="s">
        <v>32</v>
      </c>
      <c r="D57" s="27" t="s">
        <v>33</v>
      </c>
      <c r="E57" s="27" t="s">
        <v>33</v>
      </c>
      <c r="F57" s="27" t="s">
        <v>33</v>
      </c>
      <c r="G57" s="27" t="s">
        <v>33</v>
      </c>
      <c r="H57" s="27" t="s">
        <v>33</v>
      </c>
      <c r="I57" s="27" t="s">
        <v>33</v>
      </c>
      <c r="J57" s="34"/>
      <c r="K57" s="34"/>
    </row>
    <row r="58" spans="2:11" x14ac:dyDescent="0.25">
      <c r="B58" s="28" t="s">
        <v>34</v>
      </c>
      <c r="C58" s="29" t="s">
        <v>35</v>
      </c>
      <c r="D58" s="31">
        <f>8686.95*(ROUND(1.05,2))</f>
        <v>9121.2975000000006</v>
      </c>
      <c r="E58" s="31">
        <f>8686.95*(ROUND(1.05,2))</f>
        <v>9121.2975000000006</v>
      </c>
      <c r="F58" s="31">
        <f t="shared" ref="F58:I66" si="1">0*(ROUND(1.05,2))</f>
        <v>0</v>
      </c>
      <c r="G58" s="31">
        <f t="shared" si="1"/>
        <v>0</v>
      </c>
      <c r="H58" s="31">
        <f t="shared" si="1"/>
        <v>0</v>
      </c>
      <c r="I58" s="31">
        <f t="shared" si="1"/>
        <v>0</v>
      </c>
      <c r="J58" s="35"/>
      <c r="K58" s="34"/>
    </row>
    <row r="59" spans="2:11" x14ac:dyDescent="0.25">
      <c r="B59" s="28"/>
      <c r="C59" s="29" t="s">
        <v>36</v>
      </c>
      <c r="D59" s="31">
        <f>8947.56*(ROUND(1.05,2))</f>
        <v>9394.9380000000001</v>
      </c>
      <c r="E59" s="31">
        <f>8947.56*(ROUND(1.05,2))</f>
        <v>9394.9380000000001</v>
      </c>
      <c r="F59" s="31">
        <f t="shared" si="1"/>
        <v>0</v>
      </c>
      <c r="G59" s="31">
        <f t="shared" si="1"/>
        <v>0</v>
      </c>
      <c r="H59" s="31">
        <f t="shared" si="1"/>
        <v>0</v>
      </c>
      <c r="I59" s="31">
        <f t="shared" si="1"/>
        <v>0</v>
      </c>
      <c r="J59" s="35"/>
      <c r="K59" s="34"/>
    </row>
    <row r="60" spans="2:11" x14ac:dyDescent="0.25">
      <c r="B60" s="28"/>
      <c r="C60" s="29" t="s">
        <v>37</v>
      </c>
      <c r="D60" s="31">
        <f>9215.99*(ROUND(1.05,2))</f>
        <v>9676.7895000000008</v>
      </c>
      <c r="E60" s="31">
        <f>9215.99*(ROUND(1.05,2))</f>
        <v>9676.7895000000008</v>
      </c>
      <c r="F60" s="31">
        <f t="shared" si="1"/>
        <v>0</v>
      </c>
      <c r="G60" s="31">
        <f t="shared" si="1"/>
        <v>0</v>
      </c>
      <c r="H60" s="31">
        <f t="shared" si="1"/>
        <v>0</v>
      </c>
      <c r="I60" s="31">
        <f t="shared" si="1"/>
        <v>0</v>
      </c>
      <c r="J60" s="35"/>
      <c r="K60" s="34"/>
    </row>
    <row r="61" spans="2:11" x14ac:dyDescent="0.25">
      <c r="B61" s="28"/>
      <c r="C61" s="29" t="s">
        <v>38</v>
      </c>
      <c r="D61" s="31">
        <f>9492.47*(ROUND(1.05,2))</f>
        <v>9967.093499999999</v>
      </c>
      <c r="E61" s="31">
        <f>9492.47*(ROUND(1.05,2))</f>
        <v>9967.093499999999</v>
      </c>
      <c r="F61" s="31">
        <f>10916.32*(ROUND(1.05,2))</f>
        <v>11462.136</v>
      </c>
      <c r="G61" s="31">
        <f>10916.32*(ROUND(1.05,2))</f>
        <v>11462.136</v>
      </c>
      <c r="H61" s="31">
        <f t="shared" si="1"/>
        <v>0</v>
      </c>
      <c r="I61" s="31">
        <f t="shared" si="1"/>
        <v>0</v>
      </c>
      <c r="J61" s="35"/>
      <c r="K61" s="34"/>
    </row>
    <row r="62" spans="2:11" x14ac:dyDescent="0.25">
      <c r="B62" s="28"/>
      <c r="C62" s="29" t="s">
        <v>39</v>
      </c>
      <c r="D62" s="31">
        <f>9777.24*(ROUND(1.05,2))</f>
        <v>10266.102000000001</v>
      </c>
      <c r="E62" s="31">
        <f>9777.24*(ROUND(1.05,2))</f>
        <v>10266.102000000001</v>
      </c>
      <c r="F62" s="31">
        <f>11243.83*(ROUND(1.05,2))</f>
        <v>11806.021500000001</v>
      </c>
      <c r="G62" s="31">
        <f>11243.83*(ROUND(1.05,2))</f>
        <v>11806.021500000001</v>
      </c>
      <c r="H62" s="31">
        <f t="shared" si="1"/>
        <v>0</v>
      </c>
      <c r="I62" s="31">
        <f t="shared" si="1"/>
        <v>0</v>
      </c>
      <c r="J62" s="35"/>
      <c r="K62" s="34"/>
    </row>
    <row r="63" spans="2:11" x14ac:dyDescent="0.25">
      <c r="B63" s="28"/>
      <c r="C63" s="29" t="s">
        <v>40</v>
      </c>
      <c r="D63" s="31">
        <f>10070.55*(ROUND(1.05,2))</f>
        <v>10574.077499999999</v>
      </c>
      <c r="E63" s="31">
        <f>10070.55*(ROUND(1.05,2))</f>
        <v>10574.077499999999</v>
      </c>
      <c r="F63" s="31">
        <f>11581.14*(ROUND(1.05,2))</f>
        <v>12160.197</v>
      </c>
      <c r="G63" s="31">
        <f>11581.14*(ROUND(1.05,2))</f>
        <v>12160.197</v>
      </c>
      <c r="H63" s="31">
        <f t="shared" si="1"/>
        <v>0</v>
      </c>
      <c r="I63" s="31">
        <f t="shared" si="1"/>
        <v>0</v>
      </c>
      <c r="J63" s="35"/>
      <c r="K63" s="34"/>
    </row>
    <row r="64" spans="2:11" x14ac:dyDescent="0.25">
      <c r="B64" s="33" t="s">
        <v>41</v>
      </c>
      <c r="C64" s="29" t="s">
        <v>35</v>
      </c>
      <c r="D64" s="31">
        <f>10574.09*(ROUND(1.05,2))</f>
        <v>11102.7945</v>
      </c>
      <c r="E64" s="31">
        <f>10574.09*(ROUND(1.05,2))</f>
        <v>11102.7945</v>
      </c>
      <c r="F64" s="31">
        <f>12160.2*(ROUND(1.05,2))</f>
        <v>12768.210000000001</v>
      </c>
      <c r="G64" s="31">
        <f>12160.2*(ROUND(1.05,2))</f>
        <v>12768.210000000001</v>
      </c>
      <c r="H64" s="31">
        <f t="shared" si="1"/>
        <v>0</v>
      </c>
      <c r="I64" s="31">
        <f t="shared" si="1"/>
        <v>0</v>
      </c>
      <c r="J64" s="35"/>
      <c r="K64" s="34"/>
    </row>
    <row r="65" spans="2:11" x14ac:dyDescent="0.25">
      <c r="B65" s="33"/>
      <c r="C65" s="29" t="s">
        <v>36</v>
      </c>
      <c r="D65" s="31">
        <f>10891.32*(ROUND(1.05,2))</f>
        <v>11435.886</v>
      </c>
      <c r="E65" s="31">
        <f>10891.32*(ROUND(1.05,2))</f>
        <v>11435.886</v>
      </c>
      <c r="F65" s="31">
        <f>12525.01*(ROUND(1.05,2))</f>
        <v>13151.2605</v>
      </c>
      <c r="G65" s="31">
        <f>12525.01*(ROUND(1.05,2))</f>
        <v>13151.2605</v>
      </c>
      <c r="H65" s="31">
        <f t="shared" si="1"/>
        <v>0</v>
      </c>
      <c r="I65" s="31">
        <f t="shared" si="1"/>
        <v>0</v>
      </c>
      <c r="J65" s="35"/>
      <c r="K65" s="34"/>
    </row>
    <row r="66" spans="2:11" x14ac:dyDescent="0.25">
      <c r="B66" s="33"/>
      <c r="C66" s="36" t="s">
        <v>37</v>
      </c>
      <c r="D66" s="31">
        <f>11218.06*(ROUND(1.05,2))</f>
        <v>11778.963</v>
      </c>
      <c r="E66" s="31">
        <f>11218.06*(ROUND(1.05,2))</f>
        <v>11778.963</v>
      </c>
      <c r="F66" s="31">
        <f>12900.77*(ROUND(1.05,2))</f>
        <v>13545.808500000001</v>
      </c>
      <c r="G66" s="31">
        <f>12900.77*(ROUND(1.05,2))</f>
        <v>13545.808500000001</v>
      </c>
      <c r="H66" s="31">
        <f t="shared" si="1"/>
        <v>0</v>
      </c>
      <c r="I66" s="31">
        <f t="shared" si="1"/>
        <v>0</v>
      </c>
      <c r="J66" s="35"/>
      <c r="K66" s="34"/>
    </row>
    <row r="67" spans="2:11" x14ac:dyDescent="0.25">
      <c r="B67" s="33"/>
      <c r="C67" s="29" t="s">
        <v>38</v>
      </c>
      <c r="D67" s="31">
        <f>11554.6*(ROUND(1.05,2))</f>
        <v>12132.330000000002</v>
      </c>
      <c r="E67" s="31">
        <f>11554.6*(ROUND(1.05,2))</f>
        <v>12132.330000000002</v>
      </c>
      <c r="F67" s="31">
        <f>13287.79*(ROUND(1.05,2))</f>
        <v>13952.179500000002</v>
      </c>
      <c r="G67" s="31">
        <f>13287.79*(ROUND(1.05,2))</f>
        <v>13952.179500000002</v>
      </c>
      <c r="H67" s="31">
        <f>15280.95*(ROUND(1.05,2))</f>
        <v>16044.997500000001</v>
      </c>
      <c r="I67" s="31">
        <f>15280.95*(ROUND(1.05,2))</f>
        <v>16044.997500000001</v>
      </c>
      <c r="J67" s="35"/>
      <c r="K67" s="34"/>
    </row>
    <row r="68" spans="2:11" x14ac:dyDescent="0.25">
      <c r="B68" s="33"/>
      <c r="C68" s="29" t="s">
        <v>39</v>
      </c>
      <c r="D68" s="31">
        <f>11901.24*(ROUND(1.05,2))</f>
        <v>12496.302</v>
      </c>
      <c r="E68" s="31">
        <f>11901.24*(ROUND(1.05,2))</f>
        <v>12496.302</v>
      </c>
      <c r="F68" s="31">
        <f>13686.43*(ROUND(1.05,2))</f>
        <v>14370.7515</v>
      </c>
      <c r="G68" s="31">
        <f>13686.43*(ROUND(1.05,2))</f>
        <v>14370.7515</v>
      </c>
      <c r="H68" s="31">
        <f>15739.38*(ROUND(1.05,2))</f>
        <v>16526.348999999998</v>
      </c>
      <c r="I68" s="31">
        <f>15739.38*(ROUND(1.05,2))</f>
        <v>16526.348999999998</v>
      </c>
      <c r="J68" s="35"/>
      <c r="K68" s="34"/>
    </row>
    <row r="69" spans="2:11" x14ac:dyDescent="0.25">
      <c r="B69" s="33"/>
      <c r="C69" s="29" t="s">
        <v>40</v>
      </c>
      <c r="D69" s="31">
        <f>12258.27*(ROUND(1.05,2))</f>
        <v>12871.183500000001</v>
      </c>
      <c r="E69" s="31">
        <f>12258.27*(ROUND(1.05,2))</f>
        <v>12871.183500000001</v>
      </c>
      <c r="F69" s="31">
        <f>14097.02*(ROUND(1.05,2))</f>
        <v>14801.871000000001</v>
      </c>
      <c r="G69" s="31">
        <f>14097.02*(ROUND(1.05,2))</f>
        <v>14801.871000000001</v>
      </c>
      <c r="H69" s="31">
        <f>16211.57*(ROUND(1.05,2))</f>
        <v>17022.148499999999</v>
      </c>
      <c r="I69" s="31">
        <f>16211.57*(ROUND(1.05,2))</f>
        <v>17022.148499999999</v>
      </c>
      <c r="J69" s="35"/>
      <c r="K69" s="34"/>
    </row>
    <row r="70" spans="2:11" x14ac:dyDescent="0.25">
      <c r="B70" s="33" t="s">
        <v>42</v>
      </c>
      <c r="C70" s="29" t="s">
        <v>35</v>
      </c>
      <c r="D70" s="31">
        <f>12871.19*(ROUND(1.05,2))</f>
        <v>13514.749500000002</v>
      </c>
      <c r="E70" s="31">
        <f>12871.19*(ROUND(1.05,2))</f>
        <v>13514.749500000002</v>
      </c>
      <c r="F70" s="31">
        <f>14801.88*(ROUND(1.05,2))</f>
        <v>15541.974</v>
      </c>
      <c r="G70" s="31">
        <f>14801.88*(ROUND(1.05,2))</f>
        <v>15541.974</v>
      </c>
      <c r="H70" s="31">
        <f>17022.14*(ROUND(1.05,2))</f>
        <v>17873.246999999999</v>
      </c>
      <c r="I70" s="31">
        <f>17022.14*(ROUND(1.05,2))</f>
        <v>17873.246999999999</v>
      </c>
      <c r="J70" s="35"/>
      <c r="K70" s="34"/>
    </row>
    <row r="71" spans="2:11" x14ac:dyDescent="0.25">
      <c r="B71" s="33"/>
      <c r="C71" s="29" t="s">
        <v>36</v>
      </c>
      <c r="D71" s="31">
        <f>13257.32*(ROUND(1.05,2))</f>
        <v>13920.186</v>
      </c>
      <c r="E71" s="31">
        <f>13257.32*(ROUND(1.05,2))</f>
        <v>13920.186</v>
      </c>
      <c r="F71" s="31">
        <f>15245.93*(ROUND(1.05,2))</f>
        <v>16008.226500000001</v>
      </c>
      <c r="G71" s="31">
        <f>15245.93*(ROUND(1.05,2))</f>
        <v>16008.226500000001</v>
      </c>
      <c r="H71" s="31">
        <f>17532.81*(ROUND(1.05,2))</f>
        <v>18409.450500000003</v>
      </c>
      <c r="I71" s="31">
        <f>17532.81*(ROUND(1.05,2))</f>
        <v>18409.450500000003</v>
      </c>
      <c r="J71" s="35"/>
      <c r="K71" s="34"/>
    </row>
    <row r="72" spans="2:11" x14ac:dyDescent="0.25">
      <c r="B72" s="33"/>
      <c r="C72" s="29" t="s">
        <v>37</v>
      </c>
      <c r="D72" s="31">
        <f>13655.04*(ROUND(1.05,2))</f>
        <v>14337.792000000001</v>
      </c>
      <c r="E72" s="31">
        <f>13655.04*(ROUND(1.05,2))</f>
        <v>14337.792000000001</v>
      </c>
      <c r="F72" s="31">
        <f>15703.32*(ROUND(1.05,2))</f>
        <v>16488.486000000001</v>
      </c>
      <c r="G72" s="31">
        <f>15703.32*(ROUND(1.05,2))</f>
        <v>16488.486000000001</v>
      </c>
      <c r="H72" s="31">
        <f>18058.8*(ROUND(1.05,2))</f>
        <v>18961.740000000002</v>
      </c>
      <c r="I72" s="31">
        <f>18058.8*(ROUND(1.05,2))</f>
        <v>18961.740000000002</v>
      </c>
      <c r="J72" s="35"/>
      <c r="K72" s="34"/>
    </row>
    <row r="73" spans="2:11" x14ac:dyDescent="0.25">
      <c r="B73" s="33"/>
      <c r="C73" s="29" t="s">
        <v>38</v>
      </c>
      <c r="D73" s="31">
        <f>14064.7*(ROUND(1.05,2))</f>
        <v>14767.935000000001</v>
      </c>
      <c r="E73" s="31">
        <f>14064.7*(ROUND(1.05,2))</f>
        <v>14767.935000000001</v>
      </c>
      <c r="F73" s="31">
        <f>16174.41*(ROUND(1.05,2))</f>
        <v>16983.130499999999</v>
      </c>
      <c r="G73" s="31">
        <f>16174.41*(ROUND(1.05,2))</f>
        <v>16983.130499999999</v>
      </c>
      <c r="H73" s="31">
        <f>18600.57*(ROUND(1.05,2))</f>
        <v>19530.5985</v>
      </c>
      <c r="I73" s="31">
        <f>18600.57*(ROUND(1.05,2))</f>
        <v>19530.5985</v>
      </c>
      <c r="J73" s="35"/>
      <c r="K73" s="34"/>
    </row>
    <row r="74" spans="2:11" x14ac:dyDescent="0.25">
      <c r="B74" s="33"/>
      <c r="C74" s="29" t="s">
        <v>39</v>
      </c>
      <c r="D74" s="31">
        <f>14486.64*(ROUND(1.05,2))</f>
        <v>15210.972</v>
      </c>
      <c r="E74" s="31">
        <f>14486.64*(ROUND(1.05,2))</f>
        <v>15210.972</v>
      </c>
      <c r="F74" s="31">
        <f>16659.63*(ROUND(1.05,2))</f>
        <v>17492.611500000003</v>
      </c>
      <c r="G74" s="31">
        <f>16659.63*(ROUND(1.05,2))</f>
        <v>17492.611500000003</v>
      </c>
      <c r="H74" s="31">
        <f>19158.58*(ROUND(1.05,2))</f>
        <v>20116.509000000002</v>
      </c>
      <c r="I74" s="31">
        <f>19158.58*(ROUND(1.05,2))</f>
        <v>20116.509000000002</v>
      </c>
      <c r="J74" s="35"/>
      <c r="K74" s="34"/>
    </row>
    <row r="75" spans="2:11" x14ac:dyDescent="0.25">
      <c r="B75" s="33"/>
      <c r="C75" s="29" t="s">
        <v>40</v>
      </c>
      <c r="D75" s="31">
        <f>14921.24*(ROUND(1.05,2))</f>
        <v>15667.302</v>
      </c>
      <c r="E75" s="31">
        <f>14921.24*(ROUND(1.05,2))</f>
        <v>15667.302</v>
      </c>
      <c r="F75" s="31">
        <f>17159.42*(ROUND(1.05,2))</f>
        <v>18017.391</v>
      </c>
      <c r="G75" s="31">
        <f>17159.42*(ROUND(1.05,2))</f>
        <v>18017.391</v>
      </c>
      <c r="H75" s="31">
        <f>19733.32*(ROUND(1.05,2))</f>
        <v>20719.986000000001</v>
      </c>
      <c r="I75" s="31">
        <f>19733.32*(ROUND(1.05,2))</f>
        <v>20719.986000000001</v>
      </c>
      <c r="J75" s="35"/>
      <c r="K75" s="34"/>
    </row>
    <row r="77" spans="2:11" x14ac:dyDescent="0.25">
      <c r="B77" s="21" t="s">
        <v>46</v>
      </c>
      <c r="C77" s="21"/>
      <c r="D77" s="21"/>
      <c r="E77" s="21"/>
      <c r="F77" s="21"/>
      <c r="G77" s="21"/>
      <c r="H77" s="21"/>
      <c r="I77" s="21"/>
    </row>
    <row r="79" spans="2:11" x14ac:dyDescent="0.25">
      <c r="B79" s="22" t="s">
        <v>23</v>
      </c>
      <c r="C79" s="22"/>
      <c r="D79" s="22"/>
      <c r="E79" s="22"/>
      <c r="F79" s="22"/>
      <c r="G79" s="22"/>
    </row>
    <row r="80" spans="2:11" ht="45" customHeight="1" x14ac:dyDescent="0.25">
      <c r="B80" s="37" t="s">
        <v>24</v>
      </c>
      <c r="C80" s="38"/>
      <c r="D80" s="24" t="s">
        <v>25</v>
      </c>
      <c r="E80" s="24"/>
      <c r="F80" s="23" t="s">
        <v>26</v>
      </c>
      <c r="G80" s="23"/>
    </row>
    <row r="81" spans="2:7" ht="30" x14ac:dyDescent="0.25">
      <c r="B81" s="39"/>
      <c r="C81" s="40"/>
      <c r="D81" s="25" t="s">
        <v>47</v>
      </c>
      <c r="E81" s="26" t="s">
        <v>48</v>
      </c>
      <c r="F81" s="25" t="s">
        <v>47</v>
      </c>
      <c r="G81" s="26" t="s">
        <v>48</v>
      </c>
    </row>
    <row r="82" spans="2:7" ht="30" x14ac:dyDescent="0.25">
      <c r="B82" s="27" t="s">
        <v>31</v>
      </c>
      <c r="C82" s="27" t="s">
        <v>32</v>
      </c>
      <c r="D82" s="27" t="s">
        <v>33</v>
      </c>
      <c r="E82" s="27" t="s">
        <v>33</v>
      </c>
      <c r="F82" s="27" t="s">
        <v>33</v>
      </c>
      <c r="G82" s="27" t="s">
        <v>33</v>
      </c>
    </row>
    <row r="83" spans="2:7" x14ac:dyDescent="0.25">
      <c r="B83" s="28" t="s">
        <v>34</v>
      </c>
      <c r="C83" s="41" t="s">
        <v>35</v>
      </c>
      <c r="D83" s="31">
        <f>4878.32*(ROUND(1.05,2))</f>
        <v>5122.2359999999999</v>
      </c>
      <c r="E83" s="31">
        <f>4421.5*(ROUND(1.05,2))</f>
        <v>4642.5749999999998</v>
      </c>
      <c r="F83" s="31">
        <f t="shared" ref="F83:G85" si="2">0*(ROUND(1.05,2))</f>
        <v>0</v>
      </c>
      <c r="G83" s="31">
        <f t="shared" si="2"/>
        <v>0</v>
      </c>
    </row>
    <row r="84" spans="2:7" x14ac:dyDescent="0.25">
      <c r="B84" s="28"/>
      <c r="C84" s="42" t="s">
        <v>36</v>
      </c>
      <c r="D84" s="31">
        <f>5024.66*(ROUND(1.05,2))</f>
        <v>5275.893</v>
      </c>
      <c r="E84" s="31">
        <f>4554.14*(ROUND(1.05,2))</f>
        <v>4781.8470000000007</v>
      </c>
      <c r="F84" s="31">
        <f t="shared" si="2"/>
        <v>0</v>
      </c>
      <c r="G84" s="31">
        <f t="shared" si="2"/>
        <v>0</v>
      </c>
    </row>
    <row r="85" spans="2:7" x14ac:dyDescent="0.25">
      <c r="B85" s="28"/>
      <c r="C85" s="42" t="s">
        <v>37</v>
      </c>
      <c r="D85" s="31">
        <f>5175.4*(ROUND(1.05,2))</f>
        <v>5434.17</v>
      </c>
      <c r="E85" s="31">
        <f>4690.76*(ROUND(1.05,2))</f>
        <v>4925.2980000000007</v>
      </c>
      <c r="F85" s="31">
        <f t="shared" si="2"/>
        <v>0</v>
      </c>
      <c r="G85" s="31">
        <f t="shared" si="2"/>
        <v>0</v>
      </c>
    </row>
    <row r="86" spans="2:7" x14ac:dyDescent="0.25">
      <c r="B86" s="28"/>
      <c r="C86" s="42" t="s">
        <v>38</v>
      </c>
      <c r="D86" s="31">
        <f>5330.66*(ROUND(1.05,2))</f>
        <v>5597.1930000000002</v>
      </c>
      <c r="E86" s="31">
        <f>4831.49*(ROUND(1.05,2))</f>
        <v>5073.0645000000004</v>
      </c>
      <c r="F86" s="31">
        <f>6130.26*(ROUND(1.05,2))</f>
        <v>6436.7730000000001</v>
      </c>
      <c r="G86" s="31">
        <f>5556.2*(ROUND(1.05,2))</f>
        <v>5834.01</v>
      </c>
    </row>
    <row r="87" spans="2:7" x14ac:dyDescent="0.25">
      <c r="B87" s="28"/>
      <c r="C87" s="42" t="s">
        <v>39</v>
      </c>
      <c r="D87" s="31">
        <f>5490.58*(ROUND(1.05,2))</f>
        <v>5765.1090000000004</v>
      </c>
      <c r="E87" s="31">
        <f>4976.43*(ROUND(1.05,2))</f>
        <v>5225.2515000000003</v>
      </c>
      <c r="F87" s="31">
        <f>6314.16*(ROUND(1.05,2))</f>
        <v>6629.8680000000004</v>
      </c>
      <c r="G87" s="31">
        <f>5722.89*(ROUND(1.05,2))</f>
        <v>6009.0345000000007</v>
      </c>
    </row>
    <row r="88" spans="2:7" x14ac:dyDescent="0.25">
      <c r="B88" s="28"/>
      <c r="C88" s="42" t="s">
        <v>40</v>
      </c>
      <c r="D88" s="31">
        <f>5655.3*(ROUND(1.05,2))</f>
        <v>5938.0650000000005</v>
      </c>
      <c r="E88" s="31">
        <f>5125.73*(ROUND(1.05,2))</f>
        <v>5382.0164999999997</v>
      </c>
      <c r="F88" s="31">
        <f>6503.59*(ROUND(1.05,2))</f>
        <v>6828.7695000000003</v>
      </c>
      <c r="G88" s="31">
        <f>5894.58*(ROUND(1.05,2))</f>
        <v>6189.3090000000002</v>
      </c>
    </row>
    <row r="89" spans="2:7" x14ac:dyDescent="0.25">
      <c r="B89" s="33" t="s">
        <v>41</v>
      </c>
      <c r="C89" s="42" t="s">
        <v>35</v>
      </c>
      <c r="D89" s="31">
        <f>5938.05*(ROUND(1.05,2))</f>
        <v>6234.9525000000003</v>
      </c>
      <c r="E89" s="31">
        <f>5382.01*(ROUND(1.05,2))</f>
        <v>5651.1105000000007</v>
      </c>
      <c r="F89" s="31">
        <f>6828.77*(ROUND(1.05,2))</f>
        <v>7170.2085000000006</v>
      </c>
      <c r="G89" s="31">
        <f>6189.31*(ROUND(1.05,2))</f>
        <v>6498.7755000000006</v>
      </c>
    </row>
    <row r="90" spans="2:7" x14ac:dyDescent="0.25">
      <c r="B90" s="33"/>
      <c r="C90" s="42" t="s">
        <v>36</v>
      </c>
      <c r="D90" s="31">
        <f>6116.2*(ROUND(1.05,2))</f>
        <v>6422.01</v>
      </c>
      <c r="E90" s="31">
        <f>5543.47*(ROUND(1.05,2))</f>
        <v>5820.6435000000001</v>
      </c>
      <c r="F90" s="31">
        <f>7033.63*(ROUND(1.05,2))</f>
        <v>7385.3115000000007</v>
      </c>
      <c r="G90" s="31">
        <f>6374.99*(ROUND(1.05,2))</f>
        <v>6693.7394999999997</v>
      </c>
    </row>
    <row r="91" spans="2:7" x14ac:dyDescent="0.25">
      <c r="B91" s="33"/>
      <c r="C91" s="42" t="s">
        <v>37</v>
      </c>
      <c r="D91" s="31">
        <f>6299.69*(ROUND(1.05,2))</f>
        <v>6614.6745000000001</v>
      </c>
      <c r="E91" s="31">
        <f>5709.78*(ROUND(1.05,2))</f>
        <v>5995.2690000000002</v>
      </c>
      <c r="F91" s="31">
        <f>7244.65*(ROUND(1.05,2))</f>
        <v>7606.8824999999997</v>
      </c>
      <c r="G91" s="31">
        <f>6566.24*(ROUND(1.05,2))</f>
        <v>6894.5519999999997</v>
      </c>
    </row>
    <row r="92" spans="2:7" x14ac:dyDescent="0.25">
      <c r="B92" s="33"/>
      <c r="C92" s="24" t="s">
        <v>38</v>
      </c>
      <c r="D92" s="31">
        <f>6488.69*(ROUND(1.05,2))</f>
        <v>6813.1244999999999</v>
      </c>
      <c r="E92" s="31">
        <f>5881.07*(ROUND(1.05,2))</f>
        <v>6175.1234999999997</v>
      </c>
      <c r="F92" s="31">
        <f>7461.98*(ROUND(1.05,2))</f>
        <v>7835.0789999999997</v>
      </c>
      <c r="G92" s="31">
        <f>6763.23*(ROUND(1.05,2))</f>
        <v>7101.3914999999997</v>
      </c>
    </row>
    <row r="93" spans="2:7" x14ac:dyDescent="0.25">
      <c r="B93" s="33"/>
      <c r="C93" s="24" t="s">
        <v>39</v>
      </c>
      <c r="D93" s="31">
        <f>6683.35*(ROUND(1.05,2))</f>
        <v>7017.5175000000008</v>
      </c>
      <c r="E93" s="31">
        <f>6057.5*(ROUND(1.05,2))</f>
        <v>6360.375</v>
      </c>
      <c r="F93" s="31">
        <f>7685.85*(ROUND(1.05,2))</f>
        <v>8070.1425000000008</v>
      </c>
      <c r="G93" s="31">
        <f>6966.12*(ROUND(1.05,2))</f>
        <v>7314.4260000000004</v>
      </c>
    </row>
    <row r="94" spans="2:7" x14ac:dyDescent="0.25">
      <c r="B94" s="33"/>
      <c r="C94" s="24" t="s">
        <v>40</v>
      </c>
      <c r="D94" s="31">
        <f>6883.84*(ROUND(1.05,2))</f>
        <v>7228.0320000000002</v>
      </c>
      <c r="E94" s="31">
        <f>6239.22*(ROUND(1.05,2))</f>
        <v>6551.1810000000005</v>
      </c>
      <c r="F94" s="31">
        <f>7916.42*(ROUND(1.05,2))</f>
        <v>8312.241</v>
      </c>
      <c r="G94" s="31">
        <f>7175.11*(ROUND(1.05,2))</f>
        <v>7533.8654999999999</v>
      </c>
    </row>
    <row r="95" spans="2:7" x14ac:dyDescent="0.25">
      <c r="B95" s="33" t="s">
        <v>42</v>
      </c>
      <c r="C95" s="24" t="s">
        <v>35</v>
      </c>
      <c r="D95" s="31">
        <f>7228.03*(ROUND(1.05,2))</f>
        <v>7589.4314999999997</v>
      </c>
      <c r="E95" s="31">
        <f>6551.18*(ROUND(1.05,2))</f>
        <v>6878.7390000000005</v>
      </c>
      <c r="F95" s="31">
        <f>8312.24*(ROUND(1.05,2))</f>
        <v>8727.8520000000008</v>
      </c>
      <c r="G95" s="31">
        <f>7533.86*(ROUND(1.05,2))</f>
        <v>7910.5529999999999</v>
      </c>
    </row>
    <row r="96" spans="2:7" x14ac:dyDescent="0.25">
      <c r="B96" s="33"/>
      <c r="C96" s="24" t="s">
        <v>36</v>
      </c>
      <c r="D96" s="31">
        <f>7444.87*(ROUND(1.05,2))</f>
        <v>7817.1135000000004</v>
      </c>
      <c r="E96" s="31">
        <f>6747.73*(ROUND(1.05,2))</f>
        <v>7085.1165000000001</v>
      </c>
      <c r="F96" s="31">
        <f>8561.61*(ROUND(1.05,2))</f>
        <v>8989.6905000000006</v>
      </c>
      <c r="G96" s="31">
        <f>7759.9*(ROUND(1.05,2))</f>
        <v>8147.8949999999995</v>
      </c>
    </row>
    <row r="97" spans="2:7" x14ac:dyDescent="0.25">
      <c r="B97" s="33"/>
      <c r="C97" s="24" t="s">
        <v>37</v>
      </c>
      <c r="D97" s="31">
        <f>7668.22*(ROUND(1.05,2))</f>
        <v>8051.6310000000003</v>
      </c>
      <c r="E97" s="31">
        <f>6950.17*(ROUND(1.05,2))</f>
        <v>7297.6785</v>
      </c>
      <c r="F97" s="31">
        <f>8818.45*(ROUND(1.05,2))</f>
        <v>9259.3725000000013</v>
      </c>
      <c r="G97" s="31">
        <f>7992.68*(ROUND(1.05,2))</f>
        <v>8392.3140000000003</v>
      </c>
    </row>
    <row r="98" spans="2:7" x14ac:dyDescent="0.25">
      <c r="B98" s="33"/>
      <c r="C98" s="24" t="s">
        <v>38</v>
      </c>
      <c r="D98" s="31">
        <f>7898.27*(ROUND(1.05,2))</f>
        <v>8293.183500000001</v>
      </c>
      <c r="E98" s="31">
        <f>7158.68*(ROUND(1.05,2))</f>
        <v>7516.6140000000005</v>
      </c>
      <c r="F98" s="31">
        <f>9083.01*(ROUND(1.05,2))</f>
        <v>9537.1605</v>
      </c>
      <c r="G98" s="31">
        <f>8232.47*(ROUND(1.05,2))</f>
        <v>8644.093499999999</v>
      </c>
    </row>
    <row r="99" spans="2:7" x14ac:dyDescent="0.25">
      <c r="B99" s="33"/>
      <c r="C99" s="24" t="s">
        <v>39</v>
      </c>
      <c r="D99" s="31">
        <f>8135.22*(ROUND(1.05,2))</f>
        <v>8541.9809999999998</v>
      </c>
      <c r="E99" s="31">
        <f>7373.43*(ROUND(1.05,2))</f>
        <v>7742.1015000000007</v>
      </c>
      <c r="F99" s="31">
        <f>9355.5*(ROUND(1.05,2))</f>
        <v>9823.2749999999996</v>
      </c>
      <c r="G99" s="31">
        <f>8479.45*(ROUND(1.05,2))</f>
        <v>8903.4225000000006</v>
      </c>
    </row>
    <row r="100" spans="2:7" x14ac:dyDescent="0.25">
      <c r="B100" s="33"/>
      <c r="C100" s="24" t="s">
        <v>40</v>
      </c>
      <c r="D100" s="31">
        <f>8379.27*(ROUND(1.05,2))</f>
        <v>8798.2335000000003</v>
      </c>
      <c r="E100" s="31">
        <f>7594.63*(ROUND(1.05,2))</f>
        <v>7974.3615000000009</v>
      </c>
      <c r="F100" s="31">
        <f>9636.17*(ROUND(1.05,2))</f>
        <v>10117.978500000001</v>
      </c>
      <c r="G100" s="31">
        <f>8733.83*(ROUND(1.05,2))</f>
        <v>9170.5215000000007</v>
      </c>
    </row>
    <row r="103" spans="2:7" ht="26.25" customHeight="1" x14ac:dyDescent="0.25">
      <c r="B103" s="43" t="s">
        <v>49</v>
      </c>
      <c r="C103" s="43"/>
      <c r="D103" s="43"/>
      <c r="E103" s="43"/>
      <c r="F103" s="43"/>
      <c r="G103" s="43"/>
    </row>
    <row r="105" spans="2:7" x14ac:dyDescent="0.25">
      <c r="B105" s="22" t="s">
        <v>23</v>
      </c>
      <c r="C105" s="22"/>
      <c r="D105" s="22"/>
      <c r="E105" s="22"/>
      <c r="F105" s="22"/>
    </row>
    <row r="106" spans="2:7" x14ac:dyDescent="0.25">
      <c r="B106" s="23" t="s">
        <v>24</v>
      </c>
      <c r="C106" s="23"/>
      <c r="D106" s="22" t="s">
        <v>25</v>
      </c>
      <c r="E106" s="22"/>
      <c r="F106" s="22"/>
    </row>
    <row r="107" spans="2:7" ht="30" x14ac:dyDescent="0.25">
      <c r="B107" s="23"/>
      <c r="C107" s="23"/>
      <c r="D107" s="44" t="s">
        <v>50</v>
      </c>
      <c r="E107" s="25" t="s">
        <v>51</v>
      </c>
      <c r="F107" s="44" t="s">
        <v>52</v>
      </c>
    </row>
    <row r="108" spans="2:7" x14ac:dyDescent="0.25">
      <c r="B108" s="27" t="s">
        <v>31</v>
      </c>
      <c r="C108" s="27" t="s">
        <v>32</v>
      </c>
      <c r="D108" s="27" t="s">
        <v>33</v>
      </c>
      <c r="E108" s="27" t="s">
        <v>33</v>
      </c>
      <c r="F108" s="27" t="s">
        <v>33</v>
      </c>
    </row>
    <row r="109" spans="2:7" x14ac:dyDescent="0.25">
      <c r="B109" s="28" t="s">
        <v>34</v>
      </c>
      <c r="C109" s="24" t="s">
        <v>35</v>
      </c>
      <c r="D109" s="31">
        <f>3324.51*(ROUND(1.05,2))</f>
        <v>3490.7355000000002</v>
      </c>
      <c r="E109" s="31">
        <f>2815.81*(ROUND(1.05,2))</f>
        <v>2956.6005</v>
      </c>
      <c r="F109" s="31">
        <f>2815.81*(ROUND(1.05,2))</f>
        <v>2956.6005</v>
      </c>
    </row>
    <row r="110" spans="2:7" x14ac:dyDescent="0.25">
      <c r="B110" s="28"/>
      <c r="C110" s="24" t="s">
        <v>36</v>
      </c>
      <c r="D110" s="31">
        <f>3424.24*(ROUND(1.05,2))</f>
        <v>3595.4519999999998</v>
      </c>
      <c r="E110" s="31">
        <f>2900.28*(ROUND(1.05,2))</f>
        <v>3045.2940000000003</v>
      </c>
      <c r="F110" s="31">
        <f>2900.28*(ROUND(1.05,2))</f>
        <v>3045.2940000000003</v>
      </c>
    </row>
    <row r="111" spans="2:7" x14ac:dyDescent="0.25">
      <c r="B111" s="28"/>
      <c r="C111" s="24" t="s">
        <v>37</v>
      </c>
      <c r="D111" s="31">
        <f>3526.97*(ROUND(1.05,2))</f>
        <v>3703.3184999999999</v>
      </c>
      <c r="E111" s="31">
        <f>2987.28*(ROUND(1.05,2))</f>
        <v>3136.6440000000002</v>
      </c>
      <c r="F111" s="31">
        <f>2987.28*(ROUND(1.05,2))</f>
        <v>3136.6440000000002</v>
      </c>
    </row>
    <row r="112" spans="2:7" x14ac:dyDescent="0.25">
      <c r="B112" s="28"/>
      <c r="C112" s="24" t="s">
        <v>38</v>
      </c>
      <c r="D112" s="31">
        <f>3632.78*(ROUND(1.05,2))</f>
        <v>3814.4190000000003</v>
      </c>
      <c r="E112" s="31">
        <f>3076.9*(ROUND(1.05,2))</f>
        <v>3230.7450000000003</v>
      </c>
      <c r="F112" s="31">
        <f>3076.9*(ROUND(1.05,2))</f>
        <v>3230.7450000000003</v>
      </c>
    </row>
    <row r="113" spans="2:6" x14ac:dyDescent="0.25">
      <c r="B113" s="28"/>
      <c r="C113" s="24" t="s">
        <v>39</v>
      </c>
      <c r="D113" s="31">
        <f>3741.77*(ROUND(1.05,2))</f>
        <v>3928.8585000000003</v>
      </c>
      <c r="E113" s="31">
        <f>3169.21*(ROUND(1.05,2))</f>
        <v>3327.6705000000002</v>
      </c>
      <c r="F113" s="31">
        <f>3169.21*(ROUND(1.05,2))</f>
        <v>3327.6705000000002</v>
      </c>
    </row>
    <row r="114" spans="2:6" x14ac:dyDescent="0.25">
      <c r="B114" s="28"/>
      <c r="C114" s="24" t="s">
        <v>40</v>
      </c>
      <c r="D114" s="31">
        <f>3854.01*(ROUND(1.05,2))</f>
        <v>4046.7105000000006</v>
      </c>
      <c r="E114" s="31">
        <f>3264.28*(ROUND(1.05,2))</f>
        <v>3427.4940000000001</v>
      </c>
      <c r="F114" s="31">
        <f>3264.28*(ROUND(1.05,2))</f>
        <v>3427.4940000000001</v>
      </c>
    </row>
    <row r="115" spans="2:6" x14ac:dyDescent="0.25">
      <c r="B115" s="33" t="s">
        <v>41</v>
      </c>
      <c r="C115" s="24" t="s">
        <v>35</v>
      </c>
      <c r="D115" s="31">
        <f>4046.72*(ROUND(1.05,2))</f>
        <v>4249.0559999999996</v>
      </c>
      <c r="E115" s="31">
        <f>3427.49*(ROUND(1.05,2))</f>
        <v>3598.8645000000001</v>
      </c>
      <c r="F115" s="31">
        <f>3427.49*(ROUND(1.05,2))</f>
        <v>3598.8645000000001</v>
      </c>
    </row>
    <row r="116" spans="2:6" x14ac:dyDescent="0.25">
      <c r="B116" s="33"/>
      <c r="C116" s="24" t="s">
        <v>36</v>
      </c>
      <c r="D116" s="31">
        <f>4168.12*(ROUND(1.05,2))</f>
        <v>4376.5259999999998</v>
      </c>
      <c r="E116" s="31">
        <f>3530.32*(ROUND(1.05,2))</f>
        <v>3706.8360000000002</v>
      </c>
      <c r="F116" s="31">
        <f>3530.32*(ROUND(1.05,2))</f>
        <v>3706.8360000000002</v>
      </c>
    </row>
    <row r="117" spans="2:6" x14ac:dyDescent="0.25">
      <c r="B117" s="33"/>
      <c r="C117" s="24" t="s">
        <v>37</v>
      </c>
      <c r="D117" s="31">
        <f>4293.18*(ROUND(1.05,2))</f>
        <v>4507.8390000000009</v>
      </c>
      <c r="E117" s="31">
        <f>3636.21*(ROUND(1.05,2))</f>
        <v>3818.0205000000001</v>
      </c>
      <c r="F117" s="31">
        <f>3636.21*(ROUND(1.05,2))</f>
        <v>3818.0205000000001</v>
      </c>
    </row>
    <row r="118" spans="2:6" x14ac:dyDescent="0.25">
      <c r="B118" s="33"/>
      <c r="C118" s="24" t="s">
        <v>38</v>
      </c>
      <c r="D118" s="31">
        <f>4421.97*(ROUND(1.05,2))</f>
        <v>4643.0685000000003</v>
      </c>
      <c r="E118" s="31">
        <f>3745.3*(ROUND(1.05,2))</f>
        <v>3932.5650000000005</v>
      </c>
      <c r="F118" s="31">
        <f>3745.3*(ROUND(1.05,2))</f>
        <v>3932.5650000000005</v>
      </c>
    </row>
    <row r="119" spans="2:6" x14ac:dyDescent="0.25">
      <c r="B119" s="33"/>
      <c r="C119" s="24" t="s">
        <v>39</v>
      </c>
      <c r="D119" s="31">
        <f>4554.64*(ROUND(1.05,2))</f>
        <v>4782.3720000000003</v>
      </c>
      <c r="E119" s="31">
        <f>3857.66*(ROUND(1.05,2))</f>
        <v>4050.5430000000001</v>
      </c>
      <c r="F119" s="31">
        <f>3857.66*(ROUND(1.05,2))</f>
        <v>4050.5430000000001</v>
      </c>
    </row>
    <row r="120" spans="2:6" x14ac:dyDescent="0.25">
      <c r="B120" s="33"/>
      <c r="C120" s="24" t="s">
        <v>40</v>
      </c>
      <c r="D120" s="31">
        <f>4691.28*(ROUND(1.05,2))</f>
        <v>4925.8440000000001</v>
      </c>
      <c r="E120" s="31">
        <f>3973.39*(ROUND(1.05,2))</f>
        <v>4172.0595000000003</v>
      </c>
      <c r="F120" s="31">
        <f>3973.39*(ROUND(1.05,2))</f>
        <v>4172.0595000000003</v>
      </c>
    </row>
    <row r="121" spans="2:6" x14ac:dyDescent="0.25">
      <c r="B121" s="33" t="s">
        <v>42</v>
      </c>
      <c r="C121" s="24" t="s">
        <v>35</v>
      </c>
      <c r="D121" s="31">
        <f>4925.83*(ROUND(1.05,2))</f>
        <v>5172.1215000000002</v>
      </c>
      <c r="E121" s="31">
        <f>4172.07*(ROUND(1.05,2))</f>
        <v>4380.6734999999999</v>
      </c>
      <c r="F121" s="31">
        <f>4172.07*(ROUND(1.05,2))</f>
        <v>4380.6734999999999</v>
      </c>
    </row>
    <row r="122" spans="2:6" x14ac:dyDescent="0.25">
      <c r="B122" s="33"/>
      <c r="C122" s="24" t="s">
        <v>36</v>
      </c>
      <c r="D122" s="31">
        <f>5073.61*(ROUND(1.05,2))</f>
        <v>5327.2905000000001</v>
      </c>
      <c r="E122" s="31">
        <f>4297.22*(ROUND(1.05,2))</f>
        <v>4512.0810000000001</v>
      </c>
      <c r="F122" s="31">
        <f>4297.22*(ROUND(1.05,2))</f>
        <v>4512.0810000000001</v>
      </c>
    </row>
    <row r="123" spans="2:6" x14ac:dyDescent="0.25">
      <c r="B123" s="33"/>
      <c r="C123" s="24" t="s">
        <v>37</v>
      </c>
      <c r="D123" s="31">
        <f>5225.82*(ROUND(1.05,2))</f>
        <v>5487.1109999999999</v>
      </c>
      <c r="E123" s="31">
        <f>4426.14*(ROUND(1.05,2))</f>
        <v>4647.4470000000001</v>
      </c>
      <c r="F123" s="31">
        <f>4426.14*(ROUND(1.05,2))</f>
        <v>4647.4470000000001</v>
      </c>
    </row>
    <row r="124" spans="2:6" x14ac:dyDescent="0.25">
      <c r="B124" s="33"/>
      <c r="C124" s="24" t="s">
        <v>38</v>
      </c>
      <c r="D124" s="31">
        <f>5382.59*(ROUND(1.05,2))</f>
        <v>5651.7195000000002</v>
      </c>
      <c r="E124" s="31">
        <f>4558.92*(ROUND(1.05,2))</f>
        <v>4786.866</v>
      </c>
      <c r="F124" s="31">
        <f>4558.92*(ROUND(1.05,2))</f>
        <v>4786.866</v>
      </c>
    </row>
    <row r="125" spans="2:6" x14ac:dyDescent="0.25">
      <c r="B125" s="33"/>
      <c r="C125" s="24" t="s">
        <v>39</v>
      </c>
      <c r="D125" s="31">
        <f>5544.09*(ROUND(1.05,2))</f>
        <v>5821.2945</v>
      </c>
      <c r="E125" s="31">
        <f>4695.7*(ROUND(1.05,2))</f>
        <v>4930.4849999999997</v>
      </c>
      <c r="F125" s="31">
        <f>4695.7*(ROUND(1.05,2))</f>
        <v>4930.4849999999997</v>
      </c>
    </row>
    <row r="126" spans="2:6" x14ac:dyDescent="0.25">
      <c r="B126" s="33"/>
      <c r="C126" s="24" t="s">
        <v>40</v>
      </c>
      <c r="D126" s="31">
        <f>5710.4*(ROUND(1.05,2))</f>
        <v>5995.92</v>
      </c>
      <c r="E126" s="31">
        <f>4836.58*(ROUND(1.05,2))</f>
        <v>5078.4090000000006</v>
      </c>
      <c r="F126" s="31">
        <f>4836.58*(ROUND(1.05,2))</f>
        <v>5078.4090000000006</v>
      </c>
    </row>
    <row r="130" spans="2:14" ht="31.5" customHeight="1" x14ac:dyDescent="0.25">
      <c r="B130" s="45" t="s">
        <v>53</v>
      </c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</row>
    <row r="132" spans="2:14" x14ac:dyDescent="0.25">
      <c r="B132" s="46" t="s">
        <v>54</v>
      </c>
      <c r="C132" s="47"/>
      <c r="D132" s="47"/>
      <c r="E132" s="47"/>
      <c r="F132" s="47"/>
    </row>
    <row r="133" spans="2:14" x14ac:dyDescent="0.25">
      <c r="B133" s="47"/>
      <c r="C133" s="47"/>
      <c r="D133" s="47"/>
      <c r="E133" s="47"/>
      <c r="F133" s="47"/>
    </row>
    <row r="134" spans="2:14" ht="35.25" customHeight="1" x14ac:dyDescent="0.25">
      <c r="B134" s="23" t="s">
        <v>55</v>
      </c>
      <c r="C134" s="23"/>
      <c r="D134" s="23" t="s">
        <v>56</v>
      </c>
      <c r="E134" s="23"/>
      <c r="F134" s="23"/>
      <c r="G134" s="23"/>
      <c r="H134" s="23" t="s">
        <v>57</v>
      </c>
      <c r="I134" s="33"/>
      <c r="J134" s="33"/>
      <c r="K134" s="33" t="s">
        <v>58</v>
      </c>
      <c r="L134" s="33"/>
      <c r="M134" s="33"/>
      <c r="N134" s="33"/>
    </row>
    <row r="135" spans="2:14" ht="90" customHeight="1" x14ac:dyDescent="0.25">
      <c r="B135" s="48" t="s">
        <v>59</v>
      </c>
      <c r="C135" s="48"/>
      <c r="D135" s="48" t="s">
        <v>60</v>
      </c>
      <c r="E135" s="48"/>
      <c r="F135" s="48"/>
      <c r="G135" s="48"/>
      <c r="H135" s="48" t="s">
        <v>61</v>
      </c>
      <c r="I135" s="48"/>
      <c r="J135" s="48"/>
      <c r="K135" s="48" t="s">
        <v>62</v>
      </c>
      <c r="L135" s="48"/>
      <c r="M135" s="48"/>
      <c r="N135" s="48"/>
    </row>
    <row r="136" spans="2:14" ht="183" customHeight="1" x14ac:dyDescent="0.25">
      <c r="B136" s="48" t="s">
        <v>63</v>
      </c>
      <c r="C136" s="48"/>
      <c r="D136" s="48" t="s">
        <v>64</v>
      </c>
      <c r="E136" s="48"/>
      <c r="F136" s="48"/>
      <c r="G136" s="48"/>
      <c r="H136" s="49" t="s">
        <v>65</v>
      </c>
      <c r="I136" s="49"/>
      <c r="J136" s="49"/>
      <c r="K136" s="49" t="s">
        <v>66</v>
      </c>
      <c r="L136" s="49"/>
      <c r="M136" s="49"/>
      <c r="N136" s="49"/>
    </row>
    <row r="137" spans="2:14" ht="121.5" customHeight="1" x14ac:dyDescent="0.25">
      <c r="B137" s="48" t="s">
        <v>67</v>
      </c>
      <c r="C137" s="48"/>
      <c r="D137" s="48" t="s">
        <v>68</v>
      </c>
      <c r="E137" s="48"/>
      <c r="F137" s="48"/>
      <c r="G137" s="48"/>
      <c r="H137" s="50">
        <v>3100</v>
      </c>
      <c r="I137" s="51"/>
      <c r="J137" s="51"/>
      <c r="K137" s="49" t="s">
        <v>69</v>
      </c>
      <c r="L137" s="49"/>
      <c r="M137" s="49"/>
      <c r="N137" s="49"/>
    </row>
    <row r="138" spans="2:14" ht="162" customHeight="1" x14ac:dyDescent="0.25">
      <c r="B138" s="48" t="s">
        <v>70</v>
      </c>
      <c r="C138" s="48"/>
      <c r="D138" s="48" t="s">
        <v>71</v>
      </c>
      <c r="E138" s="48"/>
      <c r="F138" s="48"/>
      <c r="G138" s="48"/>
      <c r="H138" s="50">
        <v>28.88</v>
      </c>
      <c r="I138" s="51"/>
      <c r="J138" s="51"/>
      <c r="K138" s="49" t="s">
        <v>66</v>
      </c>
      <c r="L138" s="49"/>
      <c r="M138" s="49"/>
      <c r="N138" s="49"/>
    </row>
    <row r="139" spans="2:14" ht="90" customHeight="1" x14ac:dyDescent="0.25">
      <c r="B139" s="48" t="s">
        <v>72</v>
      </c>
      <c r="C139" s="48"/>
      <c r="D139" s="48" t="s">
        <v>73</v>
      </c>
      <c r="E139" s="48"/>
      <c r="F139" s="48"/>
      <c r="G139" s="48"/>
      <c r="H139" s="49" t="s">
        <v>74</v>
      </c>
      <c r="I139" s="49"/>
      <c r="J139" s="49"/>
      <c r="K139" s="49" t="s">
        <v>75</v>
      </c>
      <c r="L139" s="49"/>
      <c r="M139" s="49"/>
      <c r="N139" s="49"/>
    </row>
    <row r="140" spans="2:14" ht="90" customHeight="1" x14ac:dyDescent="0.25">
      <c r="B140" s="48" t="s">
        <v>76</v>
      </c>
      <c r="C140" s="48"/>
      <c r="D140" s="48" t="s">
        <v>77</v>
      </c>
      <c r="E140" s="48"/>
      <c r="F140" s="48"/>
      <c r="G140" s="48"/>
      <c r="H140" s="49" t="s">
        <v>74</v>
      </c>
      <c r="I140" s="49"/>
      <c r="J140" s="49"/>
      <c r="K140" s="49" t="s">
        <v>78</v>
      </c>
      <c r="L140" s="49"/>
      <c r="M140" s="49"/>
      <c r="N140" s="49"/>
    </row>
    <row r="141" spans="2:14" ht="90" customHeight="1" x14ac:dyDescent="0.25">
      <c r="B141" s="48" t="s">
        <v>79</v>
      </c>
      <c r="C141" s="48"/>
      <c r="D141" s="48" t="s">
        <v>80</v>
      </c>
      <c r="E141" s="48"/>
      <c r="F141" s="48"/>
      <c r="G141" s="48"/>
      <c r="H141" s="49" t="s">
        <v>81</v>
      </c>
      <c r="I141" s="49"/>
      <c r="J141" s="49"/>
      <c r="K141" s="49" t="s">
        <v>82</v>
      </c>
      <c r="L141" s="49"/>
      <c r="M141" s="49"/>
      <c r="N141" s="49"/>
    </row>
    <row r="142" spans="2:14" ht="90" customHeight="1" x14ac:dyDescent="0.25">
      <c r="B142" s="48" t="s">
        <v>83</v>
      </c>
      <c r="C142" s="48"/>
      <c r="D142" s="48" t="s">
        <v>84</v>
      </c>
      <c r="E142" s="48"/>
      <c r="F142" s="48"/>
      <c r="G142" s="48"/>
      <c r="H142" s="49" t="s">
        <v>81</v>
      </c>
      <c r="I142" s="49"/>
      <c r="J142" s="49"/>
      <c r="K142" s="49" t="s">
        <v>85</v>
      </c>
      <c r="L142" s="49"/>
      <c r="M142" s="49"/>
      <c r="N142" s="49"/>
    </row>
    <row r="143" spans="2:14" ht="90" customHeight="1" x14ac:dyDescent="0.25">
      <c r="B143" s="48" t="s">
        <v>86</v>
      </c>
      <c r="C143" s="48"/>
      <c r="D143" s="48" t="s">
        <v>87</v>
      </c>
      <c r="E143" s="48"/>
      <c r="F143" s="48"/>
      <c r="G143" s="48"/>
      <c r="H143" s="50">
        <v>1663.32</v>
      </c>
      <c r="I143" s="51"/>
      <c r="J143" s="51"/>
      <c r="K143" s="49" t="s">
        <v>88</v>
      </c>
      <c r="L143" s="49"/>
      <c r="M143" s="49"/>
      <c r="N143" s="49"/>
    </row>
    <row r="144" spans="2:14" ht="90" customHeight="1" x14ac:dyDescent="0.25">
      <c r="B144" s="48" t="s">
        <v>89</v>
      </c>
      <c r="C144" s="48"/>
      <c r="D144" s="48" t="s">
        <v>90</v>
      </c>
      <c r="E144" s="48"/>
      <c r="F144" s="48"/>
      <c r="G144" s="48"/>
      <c r="H144" s="50">
        <v>1663.32</v>
      </c>
      <c r="I144" s="51"/>
      <c r="J144" s="51"/>
      <c r="K144" s="49" t="s">
        <v>88</v>
      </c>
      <c r="L144" s="49"/>
      <c r="M144" s="49"/>
      <c r="N144" s="49"/>
    </row>
    <row r="145" spans="2:14" ht="90" customHeight="1" x14ac:dyDescent="0.25">
      <c r="B145" s="48" t="s">
        <v>91</v>
      </c>
      <c r="C145" s="48"/>
      <c r="D145" s="48" t="s">
        <v>92</v>
      </c>
      <c r="E145" s="48"/>
      <c r="F145" s="48"/>
      <c r="G145" s="48"/>
      <c r="H145" s="49" t="s">
        <v>93</v>
      </c>
      <c r="I145" s="49"/>
      <c r="J145" s="49"/>
      <c r="K145" s="49" t="s">
        <v>88</v>
      </c>
      <c r="L145" s="49"/>
      <c r="M145" s="49"/>
      <c r="N145" s="49"/>
    </row>
    <row r="146" spans="2:14" ht="108" customHeight="1" x14ac:dyDescent="0.25">
      <c r="B146" s="48" t="s">
        <v>94</v>
      </c>
      <c r="C146" s="48"/>
      <c r="D146" s="48" t="s">
        <v>95</v>
      </c>
      <c r="E146" s="48"/>
      <c r="F146" s="48"/>
      <c r="G146" s="48"/>
      <c r="H146" s="49" t="s">
        <v>96</v>
      </c>
      <c r="I146" s="49"/>
      <c r="J146" s="49"/>
      <c r="K146" s="49" t="s">
        <v>69</v>
      </c>
      <c r="L146" s="49"/>
      <c r="M146" s="49"/>
      <c r="N146" s="49"/>
    </row>
    <row r="147" spans="2:14" ht="113.25" customHeight="1" x14ac:dyDescent="0.25">
      <c r="B147" s="48" t="s">
        <v>97</v>
      </c>
      <c r="C147" s="48"/>
      <c r="D147" s="48" t="s">
        <v>98</v>
      </c>
      <c r="E147" s="48"/>
      <c r="F147" s="48"/>
      <c r="G147" s="48"/>
      <c r="H147" s="52" t="s">
        <v>99</v>
      </c>
      <c r="I147" s="52"/>
      <c r="J147" s="52"/>
      <c r="K147" s="48" t="s">
        <v>66</v>
      </c>
      <c r="L147" s="48"/>
      <c r="M147" s="48"/>
      <c r="N147" s="48"/>
    </row>
    <row r="148" spans="2:14" ht="75.75" customHeight="1" x14ac:dyDescent="0.25">
      <c r="B148" s="48" t="s">
        <v>100</v>
      </c>
      <c r="C148" s="48"/>
      <c r="D148" s="48" t="s">
        <v>101</v>
      </c>
      <c r="E148" s="48"/>
      <c r="F148" s="48"/>
      <c r="G148" s="48"/>
      <c r="H148" s="53">
        <v>2197.02</v>
      </c>
      <c r="I148" s="54"/>
      <c r="J148" s="54"/>
      <c r="K148" s="48" t="s">
        <v>102</v>
      </c>
      <c r="L148" s="48"/>
      <c r="M148" s="48"/>
      <c r="N148" s="48"/>
    </row>
    <row r="153" spans="2:14" ht="21" x14ac:dyDescent="0.35">
      <c r="B153" s="1" t="s">
        <v>103</v>
      </c>
      <c r="C153" s="1"/>
      <c r="D153" s="1"/>
      <c r="E153" s="1"/>
      <c r="F153" s="1"/>
      <c r="G153" s="1"/>
      <c r="H153" s="1"/>
      <c r="I153" s="1"/>
    </row>
    <row r="155" spans="2:14" x14ac:dyDescent="0.25">
      <c r="B155" s="46" t="s">
        <v>104</v>
      </c>
    </row>
    <row r="157" spans="2:14" x14ac:dyDescent="0.25">
      <c r="B157" t="s">
        <v>105</v>
      </c>
    </row>
    <row r="159" spans="2:14" x14ac:dyDescent="0.25">
      <c r="B159" s="55" t="s">
        <v>1</v>
      </c>
      <c r="C159" s="55"/>
      <c r="D159" s="56" t="s">
        <v>106</v>
      </c>
      <c r="E159" s="56"/>
      <c r="F159" s="56"/>
      <c r="G159" s="57"/>
    </row>
    <row r="160" spans="2:14" x14ac:dyDescent="0.25">
      <c r="B160" s="55"/>
      <c r="C160" s="55"/>
      <c r="D160" s="58" t="s">
        <v>107</v>
      </c>
      <c r="E160" s="59" t="s">
        <v>108</v>
      </c>
      <c r="F160" s="59" t="s">
        <v>109</v>
      </c>
      <c r="G160" s="59" t="s">
        <v>110</v>
      </c>
    </row>
    <row r="161" spans="2:12" ht="18" customHeight="1" x14ac:dyDescent="0.25">
      <c r="B161" s="60" t="s">
        <v>111</v>
      </c>
      <c r="C161" s="60"/>
      <c r="D161" s="61">
        <f>ROUND(4569.57*1.05,2)+0.01</f>
        <v>4798.0600000000004</v>
      </c>
      <c r="E161" s="61">
        <f>456.96*(ROUND(1.05,2))</f>
        <v>479.80799999999999</v>
      </c>
      <c r="F161" s="61">
        <f>1370.87*(ROUND(1.05,2))+0.01</f>
        <v>1439.4234999999999</v>
      </c>
      <c r="G161" s="61">
        <f>2741.74*(ROUND(1.05,2))</f>
        <v>2878.8269999999998</v>
      </c>
      <c r="H161" s="62"/>
      <c r="I161" s="63"/>
      <c r="J161" s="63"/>
      <c r="K161" s="63"/>
      <c r="L161" s="64"/>
    </row>
    <row r="162" spans="2:12" ht="18" customHeight="1" x14ac:dyDescent="0.25">
      <c r="B162" s="60" t="s">
        <v>112</v>
      </c>
      <c r="C162" s="60"/>
      <c r="D162" s="61">
        <f>4400.48*(ROUND(1.05,2))</f>
        <v>4620.5039999999999</v>
      </c>
      <c r="E162" s="61">
        <f>440.05*(ROUND(1.05,2))</f>
        <v>462.05250000000001</v>
      </c>
      <c r="F162" s="61">
        <f>1320.14*(ROUND(1.05,2))</f>
        <v>1386.1470000000002</v>
      </c>
      <c r="G162" s="61">
        <f>2640.29*(ROUND(1.05,2))</f>
        <v>2772.3045000000002</v>
      </c>
      <c r="I162" s="63"/>
      <c r="J162" s="63"/>
      <c r="K162" s="63"/>
      <c r="L162" s="64"/>
    </row>
    <row r="163" spans="2:12" ht="18" customHeight="1" x14ac:dyDescent="0.25">
      <c r="B163" s="60" t="s">
        <v>113</v>
      </c>
      <c r="C163" s="60"/>
      <c r="D163" s="61">
        <f>2369.32*(ROUND(1.05,2))</f>
        <v>2487.7860000000001</v>
      </c>
      <c r="E163" s="61">
        <f>236.93*(ROUND(1.05,2))</f>
        <v>248.77650000000003</v>
      </c>
      <c r="F163" s="61">
        <f>710.8*(ROUND(1.05,2))</f>
        <v>746.34</v>
      </c>
      <c r="G163" s="61">
        <f>1421.59*(ROUND(1.05,2))</f>
        <v>1492.6695</v>
      </c>
      <c r="I163" s="63"/>
      <c r="J163" s="63"/>
      <c r="K163" s="63"/>
      <c r="L163" s="64"/>
    </row>
    <row r="164" spans="2:12" ht="18" customHeight="1" x14ac:dyDescent="0.25">
      <c r="B164" s="60" t="s">
        <v>114</v>
      </c>
      <c r="C164" s="60"/>
      <c r="D164" s="61">
        <f>3723.27*(ROUND(1.05,2))</f>
        <v>3909.4335000000001</v>
      </c>
      <c r="E164" s="61">
        <f>372.33*(ROUND(1.05,2))-0.01</f>
        <v>390.93650000000002</v>
      </c>
      <c r="F164" s="61">
        <f>1116.98*(ROUND(1.05,2))</f>
        <v>1172.8290000000002</v>
      </c>
      <c r="G164" s="61">
        <f>2233.96*(ROUND(1.05,2))</f>
        <v>2345.6580000000004</v>
      </c>
      <c r="I164" s="63"/>
      <c r="J164" s="63"/>
      <c r="K164" s="63"/>
      <c r="L164" s="64"/>
    </row>
    <row r="165" spans="2:12" ht="18" customHeight="1" x14ac:dyDescent="0.25">
      <c r="B165" s="60" t="s">
        <v>115</v>
      </c>
      <c r="C165" s="60"/>
      <c r="D165" s="61">
        <f>3554.2*(ROUND(1.05,2))</f>
        <v>3731.91</v>
      </c>
      <c r="E165" s="61">
        <f>355.42*(ROUND(1.05,2))</f>
        <v>373.19100000000003</v>
      </c>
      <c r="F165" s="61">
        <f>1066.26*(ROUND(1.05,2))</f>
        <v>1119.5730000000001</v>
      </c>
      <c r="G165" s="61">
        <f>2132.52*(ROUND(1.05,2))</f>
        <v>2239.1460000000002</v>
      </c>
      <c r="I165" s="63"/>
      <c r="J165" s="63"/>
      <c r="K165" s="63"/>
      <c r="L165" s="64"/>
    </row>
    <row r="166" spans="2:12" ht="18" customHeight="1" x14ac:dyDescent="0.25">
      <c r="B166" s="60" t="s">
        <v>116</v>
      </c>
      <c r="C166" s="60"/>
      <c r="D166" s="61">
        <f>3554.2*(ROUND(1.05,2))</f>
        <v>3731.91</v>
      </c>
      <c r="E166" s="61">
        <f>355.42*(ROUND(1.05,2))</f>
        <v>373.19100000000003</v>
      </c>
      <c r="F166" s="61">
        <f>1066.26*(ROUND(1.05,2))</f>
        <v>1119.5730000000001</v>
      </c>
      <c r="G166" s="61">
        <f>2132.52*(ROUND(1.05,2))</f>
        <v>2239.1460000000002</v>
      </c>
      <c r="I166" s="63"/>
      <c r="J166" s="63"/>
      <c r="K166" s="63"/>
      <c r="L166" s="64"/>
    </row>
    <row r="167" spans="2:12" ht="18" customHeight="1" x14ac:dyDescent="0.25">
      <c r="B167" s="60" t="s">
        <v>117</v>
      </c>
      <c r="C167" s="60"/>
      <c r="D167" s="61">
        <f>2369.32*(ROUND(1.05,2))</f>
        <v>2487.7860000000001</v>
      </c>
      <c r="E167" s="61">
        <f>236.93*(ROUND(1.05,2))</f>
        <v>248.77650000000003</v>
      </c>
      <c r="F167" s="61">
        <f>710.8*(ROUND(1.05,2))</f>
        <v>746.34</v>
      </c>
      <c r="G167" s="61">
        <f>1421.59*(ROUND(1.05,2))</f>
        <v>1492.6695</v>
      </c>
      <c r="H167" s="63"/>
      <c r="I167" s="63"/>
      <c r="J167" s="63"/>
      <c r="K167" s="63"/>
      <c r="L167" s="64"/>
    </row>
    <row r="168" spans="2:12" ht="18" customHeight="1" x14ac:dyDescent="0.25">
      <c r="B168" s="60" t="s">
        <v>118</v>
      </c>
      <c r="C168" s="60"/>
      <c r="D168" s="61">
        <f>1692.57*(ROUND(1.05,2))</f>
        <v>1777.1985</v>
      </c>
      <c r="E168" s="61">
        <f>169.26*(ROUND(1.05,2))</f>
        <v>177.72299999999998</v>
      </c>
      <c r="F168" s="61">
        <f>507.77*(ROUND(1.05,2))</f>
        <v>533.1585</v>
      </c>
      <c r="G168" s="61">
        <f>1015.54*(ROUND(1.05,2))</f>
        <v>1066.317</v>
      </c>
      <c r="I168" s="63"/>
      <c r="J168" s="63"/>
      <c r="K168" s="63"/>
      <c r="L168" s="64"/>
    </row>
    <row r="172" spans="2:12" x14ac:dyDescent="0.25">
      <c r="B172" t="s">
        <v>119</v>
      </c>
    </row>
    <row r="173" spans="2:12" x14ac:dyDescent="0.25">
      <c r="B173" t="s">
        <v>120</v>
      </c>
    </row>
    <row r="174" spans="2:12" x14ac:dyDescent="0.25">
      <c r="B174" s="65" t="s">
        <v>121</v>
      </c>
      <c r="C174" s="65" t="s">
        <v>122</v>
      </c>
      <c r="D174" s="65" t="s">
        <v>123</v>
      </c>
      <c r="E174" s="66" t="s">
        <v>124</v>
      </c>
      <c r="F174" s="66"/>
      <c r="G174" s="66"/>
    </row>
    <row r="175" spans="2:12" x14ac:dyDescent="0.25">
      <c r="B175" s="65"/>
      <c r="C175" s="65"/>
      <c r="D175" s="65"/>
      <c r="E175" s="41" t="s">
        <v>125</v>
      </c>
      <c r="F175" s="41" t="s">
        <v>126</v>
      </c>
      <c r="G175" s="65" t="s">
        <v>127</v>
      </c>
    </row>
    <row r="176" spans="2:12" ht="15" customHeight="1" x14ac:dyDescent="0.25">
      <c r="B176" s="67" t="s">
        <v>128</v>
      </c>
      <c r="C176" s="28" t="s">
        <v>34</v>
      </c>
      <c r="D176" s="68" t="s">
        <v>35</v>
      </c>
      <c r="E176" s="69">
        <f>362.1*(ROUND(1.05,2))</f>
        <v>380.20500000000004</v>
      </c>
      <c r="F176" s="69">
        <f>724.19*(ROUND(1.05,2))</f>
        <v>760.3995000000001</v>
      </c>
      <c r="G176" s="69">
        <f>1086.29*(ROUND(1.05,2))</f>
        <v>1140.6044999999999</v>
      </c>
    </row>
    <row r="177" spans="2:7" x14ac:dyDescent="0.25">
      <c r="B177" s="67"/>
      <c r="C177" s="28"/>
      <c r="D177" s="68" t="s">
        <v>36</v>
      </c>
      <c r="E177" s="69">
        <f>369.35*(ROUND(1.05,2))</f>
        <v>387.81750000000005</v>
      </c>
      <c r="F177" s="69">
        <f>738.67*(ROUND(1.05,2))</f>
        <v>775.60349999999994</v>
      </c>
      <c r="G177" s="69">
        <f>1108.02*(ROUND(1.05,2))</f>
        <v>1163.421</v>
      </c>
    </row>
    <row r="178" spans="2:7" x14ac:dyDescent="0.25">
      <c r="B178" s="67"/>
      <c r="C178" s="28"/>
      <c r="D178" s="68" t="s">
        <v>37</v>
      </c>
      <c r="E178" s="69">
        <f>376.73*(ROUND(1.05,2))</f>
        <v>395.56650000000002</v>
      </c>
      <c r="F178" s="69">
        <f>753.45*(ROUND(1.05,2))</f>
        <v>791.12250000000006</v>
      </c>
      <c r="G178" s="69">
        <f>1130.18*(ROUND(1.05,2))</f>
        <v>1186.6890000000001</v>
      </c>
    </row>
    <row r="179" spans="2:7" x14ac:dyDescent="0.25">
      <c r="B179" s="67"/>
      <c r="C179" s="28"/>
      <c r="D179" s="68" t="s">
        <v>38</v>
      </c>
      <c r="E179" s="69">
        <f>384.26*(ROUND(1.05,2))</f>
        <v>403.47300000000001</v>
      </c>
      <c r="F179" s="69">
        <f>768.52*(ROUND(1.05,2))</f>
        <v>806.94600000000003</v>
      </c>
      <c r="G179" s="69">
        <f>1152.78*(ROUND(1.05,2))</f>
        <v>1210.4190000000001</v>
      </c>
    </row>
    <row r="180" spans="2:7" x14ac:dyDescent="0.25">
      <c r="B180" s="67"/>
      <c r="C180" s="28"/>
      <c r="D180" s="68" t="s">
        <v>39</v>
      </c>
      <c r="E180" s="69">
        <f>391.95*(ROUND(1.05,2))</f>
        <v>411.54750000000001</v>
      </c>
      <c r="F180" s="69">
        <f>783.9*(ROUND(1.05,2))</f>
        <v>823.09500000000003</v>
      </c>
      <c r="G180" s="69">
        <f>1175.83*(ROUND(1.05,2))</f>
        <v>1234.6215</v>
      </c>
    </row>
    <row r="181" spans="2:7" x14ac:dyDescent="0.25">
      <c r="B181" s="67"/>
      <c r="C181" s="28"/>
      <c r="D181" s="68" t="s">
        <v>40</v>
      </c>
      <c r="E181" s="69">
        <f>399.77*(ROUND(1.05,2))</f>
        <v>419.75850000000003</v>
      </c>
      <c r="F181" s="69">
        <f>799.57*(ROUND(1.05,2))</f>
        <v>839.5485000000001</v>
      </c>
      <c r="G181" s="69">
        <f>1199.34*(ROUND(1.05,2))</f>
        <v>1259.307</v>
      </c>
    </row>
    <row r="182" spans="2:7" x14ac:dyDescent="0.25">
      <c r="B182" s="67"/>
      <c r="C182" s="28" t="s">
        <v>41</v>
      </c>
      <c r="D182" s="68" t="s">
        <v>35</v>
      </c>
      <c r="E182" s="69">
        <f>407.78*(ROUND(1.05,2))</f>
        <v>428.16899999999998</v>
      </c>
      <c r="F182" s="69">
        <f>815.57*(ROUND(1.05,2))</f>
        <v>856.34850000000006</v>
      </c>
      <c r="G182" s="69">
        <f>1223.34*(ROUND(1.05,2))</f>
        <v>1284.5070000000001</v>
      </c>
    </row>
    <row r="183" spans="2:7" x14ac:dyDescent="0.25">
      <c r="B183" s="67"/>
      <c r="C183" s="28"/>
      <c r="D183" s="68" t="s">
        <v>36</v>
      </c>
      <c r="E183" s="69">
        <f>415.94*(ROUND(1.05,2))</f>
        <v>436.73700000000002</v>
      </c>
      <c r="F183" s="69">
        <f>831.88*(ROUND(1.05,2))</f>
        <v>873.47400000000005</v>
      </c>
      <c r="G183" s="69">
        <f>1247.81*(ROUND(1.05,2))</f>
        <v>1310.2004999999999</v>
      </c>
    </row>
    <row r="184" spans="2:7" x14ac:dyDescent="0.25">
      <c r="B184" s="67"/>
      <c r="C184" s="28"/>
      <c r="D184" s="68" t="s">
        <v>37</v>
      </c>
      <c r="E184" s="69">
        <f>424.24*(ROUND(1.05,2))</f>
        <v>445.45200000000006</v>
      </c>
      <c r="F184" s="69">
        <f>848.52*(ROUND(1.05,2))</f>
        <v>890.94600000000003</v>
      </c>
      <c r="G184" s="69">
        <f>1272.77*(ROUND(1.05,2))</f>
        <v>1336.4085</v>
      </c>
    </row>
    <row r="185" spans="2:7" x14ac:dyDescent="0.25">
      <c r="B185" s="67"/>
      <c r="C185" s="28"/>
      <c r="D185" s="68" t="s">
        <v>38</v>
      </c>
      <c r="E185" s="69">
        <f>432.75*(ROUND(1.05,2))</f>
        <v>454.38750000000005</v>
      </c>
      <c r="F185" s="69">
        <f>865.48*(ROUND(1.05,2))</f>
        <v>908.75400000000002</v>
      </c>
      <c r="G185" s="69">
        <f>1298.22*(ROUND(1.05,2))</f>
        <v>1363.1310000000001</v>
      </c>
    </row>
    <row r="186" spans="2:7" x14ac:dyDescent="0.25">
      <c r="B186" s="67"/>
      <c r="C186" s="28"/>
      <c r="D186" s="68" t="s">
        <v>39</v>
      </c>
      <c r="E186" s="69">
        <f>441.4*(ROUND(1.05,2))</f>
        <v>463.46999999999997</v>
      </c>
      <c r="F186" s="69">
        <f>882.78*(ROUND(1.05,2))</f>
        <v>926.91899999999998</v>
      </c>
      <c r="G186" s="69">
        <f>1324.19*(ROUND(1.05,2))</f>
        <v>1390.3995000000002</v>
      </c>
    </row>
    <row r="187" spans="2:7" x14ac:dyDescent="0.25">
      <c r="B187" s="67"/>
      <c r="C187" s="28"/>
      <c r="D187" s="68" t="s">
        <v>40</v>
      </c>
      <c r="E187" s="69">
        <f>450.22*(ROUND(1.05,2))</f>
        <v>472.73100000000005</v>
      </c>
      <c r="F187" s="69">
        <f>900.44*(ROUND(1.05,2))</f>
        <v>945.4620000000001</v>
      </c>
      <c r="G187" s="69">
        <f>1350.67*(ROUND(1.05,2))</f>
        <v>1418.2035000000001</v>
      </c>
    </row>
    <row r="188" spans="2:7" x14ac:dyDescent="0.25">
      <c r="B188" s="67"/>
      <c r="C188" s="67" t="s">
        <v>129</v>
      </c>
      <c r="D188" s="68" t="s">
        <v>35</v>
      </c>
      <c r="E188" s="69">
        <f>459.22*(ROUND(1.05,2))</f>
        <v>482.18100000000004</v>
      </c>
      <c r="F188" s="69">
        <f>918.45*(ROUND(1.05,2))</f>
        <v>964.37250000000006</v>
      </c>
      <c r="G188" s="69">
        <f>1377.67*(ROUND(1.05,2))</f>
        <v>1446.5535000000002</v>
      </c>
    </row>
    <row r="189" spans="2:7" x14ac:dyDescent="0.25">
      <c r="B189" s="67"/>
      <c r="C189" s="67"/>
      <c r="D189" s="68" t="s">
        <v>36</v>
      </c>
      <c r="E189" s="69">
        <f>468.4*(ROUND(1.05,2))</f>
        <v>491.82</v>
      </c>
      <c r="F189" s="69">
        <f>936.82*(ROUND(1.05,2))</f>
        <v>983.66100000000006</v>
      </c>
      <c r="G189" s="69">
        <f>1405.22*(ROUND(1.05,2))</f>
        <v>1475.481</v>
      </c>
    </row>
    <row r="190" spans="2:7" x14ac:dyDescent="0.25">
      <c r="B190" s="67"/>
      <c r="C190" s="67"/>
      <c r="D190" s="68" t="s">
        <v>37</v>
      </c>
      <c r="E190" s="69">
        <f>477.78*(ROUND(1.05,2))</f>
        <v>501.66899999999998</v>
      </c>
      <c r="F190" s="69">
        <f>955.55*(ROUND(1.05,2))</f>
        <v>1003.3275</v>
      </c>
      <c r="G190" s="69">
        <f>1433.34*(ROUND(1.05,2))</f>
        <v>1505.0070000000001</v>
      </c>
    </row>
    <row r="191" spans="2:7" x14ac:dyDescent="0.25">
      <c r="B191" s="67"/>
      <c r="C191" s="67"/>
      <c r="D191" s="68" t="s">
        <v>38</v>
      </c>
      <c r="E191" s="69">
        <f>487.33*(ROUND(1.05,2))</f>
        <v>511.69650000000001</v>
      </c>
      <c r="F191" s="69">
        <f>974.67*(ROUND(1.05,2))</f>
        <v>1023.4035</v>
      </c>
      <c r="G191" s="69">
        <f>1462*(ROUND(1.05,2))</f>
        <v>1535.1000000000001</v>
      </c>
    </row>
    <row r="192" spans="2:7" x14ac:dyDescent="0.25">
      <c r="B192" s="67"/>
      <c r="C192" s="67"/>
      <c r="D192" s="68" t="s">
        <v>39</v>
      </c>
      <c r="E192" s="69">
        <f>497.07*(ROUND(1.05,2))</f>
        <v>521.92349999999999</v>
      </c>
      <c r="F192" s="69">
        <f>994.16*(ROUND(1.05,2))</f>
        <v>1043.8679999999999</v>
      </c>
      <c r="G192" s="69">
        <f>1491.24*(ROUND(1.05,2))</f>
        <v>1565.8020000000001</v>
      </c>
    </row>
    <row r="193" spans="2:8" x14ac:dyDescent="0.25">
      <c r="B193" s="67"/>
      <c r="C193" s="67"/>
      <c r="D193" s="68" t="s">
        <v>40</v>
      </c>
      <c r="E193" s="69">
        <f>507.02*(ROUND(1.05,2))</f>
        <v>532.37099999999998</v>
      </c>
      <c r="F193" s="69">
        <f>1014.04*(ROUND(1.05,2))</f>
        <v>1064.742</v>
      </c>
      <c r="G193" s="69">
        <f>1521.07*(ROUND(1.05,2))</f>
        <v>1597.1234999999999</v>
      </c>
    </row>
    <row r="194" spans="2:8" x14ac:dyDescent="0.25">
      <c r="B194" s="70"/>
      <c r="C194" s="71"/>
      <c r="D194" s="72"/>
      <c r="E194" s="73"/>
      <c r="F194" s="74"/>
      <c r="G194" s="75"/>
    </row>
    <row r="195" spans="2:8" x14ac:dyDescent="0.25">
      <c r="B195" s="70"/>
      <c r="C195" s="71"/>
      <c r="D195" s="72"/>
      <c r="E195" s="73"/>
      <c r="F195" s="74"/>
      <c r="G195" s="75"/>
    </row>
    <row r="196" spans="2:8" x14ac:dyDescent="0.25">
      <c r="C196" s="76"/>
      <c r="D196" s="76"/>
      <c r="E196" s="76"/>
      <c r="F196" s="76"/>
      <c r="G196" s="76"/>
      <c r="H196" s="76"/>
    </row>
    <row r="197" spans="2:8" x14ac:dyDescent="0.25">
      <c r="B197" t="s">
        <v>130</v>
      </c>
      <c r="C197" s="76"/>
      <c r="D197" s="76"/>
      <c r="E197" s="76"/>
      <c r="F197" s="76"/>
      <c r="G197" s="76"/>
      <c r="H197" s="76"/>
    </row>
    <row r="198" spans="2:8" x14ac:dyDescent="0.25">
      <c r="B198" s="77"/>
      <c r="C198" s="76"/>
      <c r="D198" s="76"/>
      <c r="E198" s="76"/>
      <c r="F198" s="76"/>
      <c r="G198" s="76"/>
      <c r="H198" s="76"/>
    </row>
    <row r="199" spans="2:8" x14ac:dyDescent="0.25">
      <c r="B199" s="33" t="s">
        <v>131</v>
      </c>
      <c r="C199" s="33"/>
      <c r="D199" s="33"/>
      <c r="E199" s="33"/>
      <c r="F199" s="33"/>
      <c r="G199" s="33"/>
      <c r="H199" s="33"/>
    </row>
    <row r="200" spans="2:8" x14ac:dyDescent="0.25">
      <c r="B200" s="67" t="s">
        <v>132</v>
      </c>
      <c r="C200" s="28" t="s">
        <v>133</v>
      </c>
      <c r="D200" s="28" t="s">
        <v>134</v>
      </c>
      <c r="E200" s="78" t="s">
        <v>124</v>
      </c>
      <c r="F200" s="78"/>
      <c r="G200" s="78"/>
      <c r="H200" s="78"/>
    </row>
    <row r="201" spans="2:8" ht="30" x14ac:dyDescent="0.25">
      <c r="B201" s="67"/>
      <c r="C201" s="28"/>
      <c r="D201" s="28"/>
      <c r="E201" s="79" t="s">
        <v>135</v>
      </c>
      <c r="F201" s="79" t="s">
        <v>125</v>
      </c>
      <c r="G201" s="79" t="s">
        <v>126</v>
      </c>
      <c r="H201" s="79" t="s">
        <v>127</v>
      </c>
    </row>
    <row r="202" spans="2:8" x14ac:dyDescent="0.25">
      <c r="B202" s="67" t="s">
        <v>136</v>
      </c>
      <c r="C202" s="80" t="s">
        <v>34</v>
      </c>
      <c r="D202" s="81" t="s">
        <v>35</v>
      </c>
      <c r="E202" s="82">
        <f>192.31*(ROUND(1.05,2))</f>
        <v>201.9255</v>
      </c>
      <c r="F202" s="82">
        <f>192.31*(ROUND(1.05,2))</f>
        <v>201.9255</v>
      </c>
      <c r="G202" s="82">
        <f>384.62*(ROUND(1.05,2))</f>
        <v>403.851</v>
      </c>
      <c r="H202" s="82">
        <f>576.94*(ROUND(1.05,2))</f>
        <v>605.78700000000003</v>
      </c>
    </row>
    <row r="203" spans="2:8" x14ac:dyDescent="0.25">
      <c r="B203" s="67"/>
      <c r="C203" s="80"/>
      <c r="D203" s="81" t="s">
        <v>36</v>
      </c>
      <c r="E203" s="82">
        <f>196.16*(ROUND(1.05,2))</f>
        <v>205.96800000000002</v>
      </c>
      <c r="F203" s="82">
        <f>196.16*(ROUND(1.05,2))</f>
        <v>205.96800000000002</v>
      </c>
      <c r="G203" s="82">
        <f>392.33*(ROUND(1.05,2))</f>
        <v>411.94650000000001</v>
      </c>
      <c r="H203" s="82">
        <f>588.49*(ROUND(1.05,2))</f>
        <v>617.91450000000009</v>
      </c>
    </row>
    <row r="204" spans="2:8" x14ac:dyDescent="0.25">
      <c r="B204" s="67"/>
      <c r="C204" s="80"/>
      <c r="D204" s="81" t="s">
        <v>37</v>
      </c>
      <c r="E204" s="82">
        <f>200.1*(ROUND(1.05,2))</f>
        <v>210.10499999999999</v>
      </c>
      <c r="F204" s="82">
        <f>200.1*(ROUND(1.05,2))</f>
        <v>210.10499999999999</v>
      </c>
      <c r="G204" s="82">
        <f>400.17*(ROUND(1.05,2))</f>
        <v>420.17850000000004</v>
      </c>
      <c r="H204" s="82">
        <f>600.26*(ROUND(1.05,2))</f>
        <v>630.27300000000002</v>
      </c>
    </row>
    <row r="205" spans="2:8" x14ac:dyDescent="0.25">
      <c r="B205" s="67"/>
      <c r="C205" s="80"/>
      <c r="D205" s="81" t="s">
        <v>38</v>
      </c>
      <c r="E205" s="82">
        <f>204.08*(ROUND(1.05,2))</f>
        <v>214.28400000000002</v>
      </c>
      <c r="F205" s="82">
        <f>204.08*(ROUND(1.05,2))</f>
        <v>214.28400000000002</v>
      </c>
      <c r="G205" s="82">
        <f>408.16*(ROUND(1.05,2))</f>
        <v>428.56800000000004</v>
      </c>
      <c r="H205" s="82">
        <f>612.25*(ROUND(1.05,2))</f>
        <v>642.86250000000007</v>
      </c>
    </row>
    <row r="206" spans="2:8" x14ac:dyDescent="0.25">
      <c r="B206" s="67"/>
      <c r="C206" s="80"/>
      <c r="D206" s="81" t="s">
        <v>39</v>
      </c>
      <c r="E206" s="82">
        <f>208.16*(ROUND(1.05,2))</f>
        <v>218.56800000000001</v>
      </c>
      <c r="F206" s="82">
        <f>208.16*(ROUND(1.05,2))</f>
        <v>218.56800000000001</v>
      </c>
      <c r="G206" s="82">
        <f>416.34*(ROUND(1.05,2))</f>
        <v>437.15699999999998</v>
      </c>
      <c r="H206" s="82">
        <f>624.5*(ROUND(1.05,2))</f>
        <v>655.72500000000002</v>
      </c>
    </row>
    <row r="207" spans="2:8" x14ac:dyDescent="0.25">
      <c r="B207" s="67"/>
      <c r="C207" s="80"/>
      <c r="D207" s="81" t="s">
        <v>40</v>
      </c>
      <c r="E207" s="82">
        <f>212.34*(ROUND(1.05,2))</f>
        <v>222.95700000000002</v>
      </c>
      <c r="F207" s="82">
        <f>212.34*(ROUND(1.05,2))</f>
        <v>222.95700000000002</v>
      </c>
      <c r="G207" s="82">
        <f>424.66*(ROUND(1.05,2))</f>
        <v>445.89300000000003</v>
      </c>
      <c r="H207" s="82">
        <f>637*(ROUND(1.05,2))</f>
        <v>668.85</v>
      </c>
    </row>
    <row r="208" spans="2:8" x14ac:dyDescent="0.25">
      <c r="B208" s="67"/>
      <c r="C208" s="80" t="s">
        <v>41</v>
      </c>
      <c r="D208" s="81" t="s">
        <v>35</v>
      </c>
      <c r="E208" s="82">
        <f>216.57*(ROUND(1.05,2))</f>
        <v>227.39850000000001</v>
      </c>
      <c r="F208" s="82">
        <f>216.57*(ROUND(1.05,2))</f>
        <v>227.39850000000001</v>
      </c>
      <c r="G208" s="82">
        <f>433.15*(ROUND(1.05,2))</f>
        <v>454.8075</v>
      </c>
      <c r="H208" s="82">
        <f>649.72*(ROUND(1.05,2))</f>
        <v>682.20600000000002</v>
      </c>
    </row>
    <row r="209" spans="2:8" x14ac:dyDescent="0.25">
      <c r="B209" s="67"/>
      <c r="C209" s="80"/>
      <c r="D209" s="81" t="s">
        <v>36</v>
      </c>
      <c r="E209" s="82">
        <f>220.92*(ROUND(1.05,2))</f>
        <v>231.96600000000001</v>
      </c>
      <c r="F209" s="82">
        <f>220.92*(ROUND(1.05,2))</f>
        <v>231.96600000000001</v>
      </c>
      <c r="G209" s="82">
        <f>441.82*(ROUND(1.05,2))</f>
        <v>463.911</v>
      </c>
      <c r="H209" s="82">
        <f>662.74*(ROUND(1.05,2))</f>
        <v>695.87700000000007</v>
      </c>
    </row>
    <row r="210" spans="2:8" x14ac:dyDescent="0.25">
      <c r="B210" s="67"/>
      <c r="C210" s="80"/>
      <c r="D210" s="81" t="s">
        <v>37</v>
      </c>
      <c r="E210" s="82">
        <f>225.32*(ROUND(1.05,2))</f>
        <v>236.58600000000001</v>
      </c>
      <c r="F210" s="82">
        <f>225.32*(ROUND(1.05,2))</f>
        <v>236.58600000000001</v>
      </c>
      <c r="G210" s="82">
        <f>450.65*(ROUND(1.05,2))</f>
        <v>473.1825</v>
      </c>
      <c r="H210" s="82">
        <f>675.96*(ROUND(1.05,2))</f>
        <v>709.75800000000004</v>
      </c>
    </row>
    <row r="211" spans="2:8" x14ac:dyDescent="0.25">
      <c r="B211" s="67"/>
      <c r="C211" s="80"/>
      <c r="D211" s="81" t="s">
        <v>38</v>
      </c>
      <c r="E211" s="82">
        <f>229.84*(ROUND(1.05,2))</f>
        <v>241.33200000000002</v>
      </c>
      <c r="F211" s="82">
        <f>229.84*(ROUND(1.05,2))</f>
        <v>241.33200000000002</v>
      </c>
      <c r="G211" s="82">
        <f>459.66*(ROUND(1.05,2))</f>
        <v>482.64300000000003</v>
      </c>
      <c r="H211" s="82">
        <f>689.5*(ROUND(1.05,2))</f>
        <v>723.97500000000002</v>
      </c>
    </row>
    <row r="212" spans="2:8" x14ac:dyDescent="0.25">
      <c r="B212" s="67"/>
      <c r="C212" s="80"/>
      <c r="D212" s="81" t="s">
        <v>39</v>
      </c>
      <c r="E212" s="82">
        <f>234.43*(ROUND(1.05,2))</f>
        <v>246.15150000000003</v>
      </c>
      <c r="F212" s="82">
        <f>234.43*(ROUND(1.05,2))</f>
        <v>246.15150000000003</v>
      </c>
      <c r="G212" s="82">
        <f>468.85*(ROUND(1.05,2))</f>
        <v>492.29250000000002</v>
      </c>
      <c r="H212" s="82">
        <f>703.27*(ROUND(1.05,2))</f>
        <v>738.43349999999998</v>
      </c>
    </row>
    <row r="213" spans="2:8" x14ac:dyDescent="0.25">
      <c r="B213" s="67"/>
      <c r="C213" s="80"/>
      <c r="D213" s="81" t="s">
        <v>40</v>
      </c>
      <c r="E213" s="82">
        <f>239.12*(ROUND(1.05,2))</f>
        <v>251.07600000000002</v>
      </c>
      <c r="F213" s="82">
        <f>239.12*(ROUND(1.05,2))</f>
        <v>251.07600000000002</v>
      </c>
      <c r="G213" s="82">
        <f>478.23*(ROUND(1.05,2))</f>
        <v>502.14150000000006</v>
      </c>
      <c r="H213" s="82">
        <f>717.35*(ROUND(1.05,2))</f>
        <v>753.21750000000009</v>
      </c>
    </row>
    <row r="214" spans="2:8" x14ac:dyDescent="0.25">
      <c r="B214" s="67"/>
      <c r="C214" s="33" t="s">
        <v>129</v>
      </c>
      <c r="D214" s="81" t="s">
        <v>35</v>
      </c>
      <c r="E214" s="82">
        <f>243.89*(ROUND(1.05,2))</f>
        <v>256.08449999999999</v>
      </c>
      <c r="F214" s="82">
        <f>243.89*(ROUND(1.05,2))</f>
        <v>256.08449999999999</v>
      </c>
      <c r="G214" s="82">
        <f>487.79*(ROUND(1.05,2))</f>
        <v>512.17950000000008</v>
      </c>
      <c r="H214" s="82">
        <f>731.68*(ROUND(1.05,2))</f>
        <v>768.26400000000001</v>
      </c>
    </row>
    <row r="215" spans="2:8" x14ac:dyDescent="0.25">
      <c r="B215" s="67"/>
      <c r="C215" s="33"/>
      <c r="D215" s="81" t="s">
        <v>36</v>
      </c>
      <c r="E215" s="82">
        <f>248.79*(ROUND(1.05,2))</f>
        <v>261.22950000000003</v>
      </c>
      <c r="F215" s="82">
        <f>248.79*(ROUND(1.05,2))</f>
        <v>261.22950000000003</v>
      </c>
      <c r="G215" s="82">
        <f>497.55*(ROUND(1.05,2))</f>
        <v>522.42750000000001</v>
      </c>
      <c r="H215" s="82">
        <f>746.34*(ROUND(1.05,2))</f>
        <v>783.65700000000004</v>
      </c>
    </row>
    <row r="216" spans="2:8" x14ac:dyDescent="0.25">
      <c r="B216" s="67"/>
      <c r="C216" s="33"/>
      <c r="D216" s="81" t="s">
        <v>37</v>
      </c>
      <c r="E216" s="82">
        <f>253.76*(ROUND(1.05,2))</f>
        <v>266.44799999999998</v>
      </c>
      <c r="F216" s="82">
        <f>253.76*(ROUND(1.05,2))</f>
        <v>266.44799999999998</v>
      </c>
      <c r="G216" s="82">
        <f>507.5*(ROUND(1.05,2))</f>
        <v>532.875</v>
      </c>
      <c r="H216" s="82">
        <f>761.26*(ROUND(1.05,2))</f>
        <v>799.32299999999998</v>
      </c>
    </row>
    <row r="217" spans="2:8" x14ac:dyDescent="0.25">
      <c r="B217" s="67"/>
      <c r="C217" s="33"/>
      <c r="D217" s="81" t="s">
        <v>38</v>
      </c>
      <c r="E217" s="82">
        <f>258.83*(ROUND(1.05,2))</f>
        <v>271.7715</v>
      </c>
      <c r="F217" s="82">
        <f>258.83*(ROUND(1.05,2))</f>
        <v>271.7715</v>
      </c>
      <c r="G217" s="82">
        <f>517.66*(ROUND(1.05,2))</f>
        <v>543.54300000000001</v>
      </c>
      <c r="H217" s="82">
        <f>776.5*(ROUND(1.05,2))</f>
        <v>815.32500000000005</v>
      </c>
    </row>
    <row r="218" spans="2:8" x14ac:dyDescent="0.25">
      <c r="B218" s="67"/>
      <c r="C218" s="33"/>
      <c r="D218" s="81" t="s">
        <v>39</v>
      </c>
      <c r="E218" s="82">
        <f>264.01*(ROUND(1.05,2))</f>
        <v>277.21050000000002</v>
      </c>
      <c r="F218" s="82">
        <f>264.01*(ROUND(1.05,2))</f>
        <v>277.21050000000002</v>
      </c>
      <c r="G218" s="82">
        <f>528.01*(ROUND(1.05,2))</f>
        <v>554.41050000000007</v>
      </c>
      <c r="H218" s="82">
        <f>792.03*(ROUND(1.05,2))</f>
        <v>831.63149999999996</v>
      </c>
    </row>
    <row r="219" spans="2:8" x14ac:dyDescent="0.25">
      <c r="B219" s="83"/>
      <c r="C219" s="84"/>
      <c r="D219" s="85" t="s">
        <v>40</v>
      </c>
      <c r="E219" s="82">
        <f>269.29*(ROUND(1.05,2))</f>
        <v>282.75450000000001</v>
      </c>
      <c r="F219" s="82">
        <f>269.29*(ROUND(1.05,2))</f>
        <v>282.75450000000001</v>
      </c>
      <c r="G219" s="82">
        <f>538.57*(ROUND(1.05,2))</f>
        <v>565.49850000000004</v>
      </c>
      <c r="H219" s="82">
        <f>807.87*(ROUND(1.05,2))</f>
        <v>848.26350000000002</v>
      </c>
    </row>
    <row r="220" spans="2:8" x14ac:dyDescent="0.25">
      <c r="B220" s="67" t="s">
        <v>132</v>
      </c>
      <c r="C220" s="28" t="s">
        <v>133</v>
      </c>
      <c r="D220" s="28" t="s">
        <v>134</v>
      </c>
      <c r="E220" s="78" t="s">
        <v>124</v>
      </c>
      <c r="F220" s="78"/>
      <c r="G220" s="78"/>
      <c r="H220" s="78"/>
    </row>
    <row r="221" spans="2:8" ht="30" x14ac:dyDescent="0.25">
      <c r="B221" s="67"/>
      <c r="C221" s="28"/>
      <c r="D221" s="28"/>
      <c r="E221" s="79" t="s">
        <v>135</v>
      </c>
      <c r="F221" s="79" t="s">
        <v>125</v>
      </c>
      <c r="G221" s="79" t="s">
        <v>126</v>
      </c>
      <c r="H221" s="79" t="s">
        <v>127</v>
      </c>
    </row>
    <row r="222" spans="2:8" ht="15" customHeight="1" x14ac:dyDescent="0.25">
      <c r="B222" s="86" t="s">
        <v>137</v>
      </c>
      <c r="C222" s="23" t="s">
        <v>34</v>
      </c>
      <c r="D222" s="81" t="s">
        <v>35</v>
      </c>
      <c r="E222" s="82">
        <f>232.38*(ROUND(1.05,2))</f>
        <v>243.999</v>
      </c>
      <c r="F222" s="82">
        <f>232.38*(ROUND(1.05,2))</f>
        <v>243.999</v>
      </c>
      <c r="G222" s="82">
        <f>464.78*(ROUND(1.05,2))</f>
        <v>488.01900000000001</v>
      </c>
      <c r="H222" s="82">
        <f>697.17*(ROUND(1.05,2))</f>
        <v>732.02850000000001</v>
      </c>
    </row>
    <row r="223" spans="2:8" x14ac:dyDescent="0.25">
      <c r="B223" s="87"/>
      <c r="C223" s="23"/>
      <c r="D223" s="81" t="s">
        <v>36</v>
      </c>
      <c r="E223" s="82">
        <f>237.05*(ROUND(1.05,2))</f>
        <v>248.90250000000003</v>
      </c>
      <c r="F223" s="82">
        <f>237.05*(ROUND(1.05,2))</f>
        <v>248.90250000000003</v>
      </c>
      <c r="G223" s="82">
        <f>474.09*(ROUND(1.05,2))</f>
        <v>497.79449999999997</v>
      </c>
      <c r="H223" s="82">
        <f>711.14*(ROUND(1.05,2))</f>
        <v>746.697</v>
      </c>
    </row>
    <row r="224" spans="2:8" x14ac:dyDescent="0.25">
      <c r="B224" s="87"/>
      <c r="C224" s="23"/>
      <c r="D224" s="81" t="s">
        <v>37</v>
      </c>
      <c r="E224" s="82">
        <f>241.78*(ROUND(1.05,2))</f>
        <v>253.869</v>
      </c>
      <c r="F224" s="82">
        <f>241.78*(ROUND(1.05,2))</f>
        <v>253.869</v>
      </c>
      <c r="G224" s="82">
        <f>483.57*(ROUND(1.05,2))</f>
        <v>507.74850000000004</v>
      </c>
      <c r="H224" s="82">
        <f>725.35*(ROUND(1.05,2))</f>
        <v>761.61750000000006</v>
      </c>
    </row>
    <row r="225" spans="2:8" x14ac:dyDescent="0.25">
      <c r="B225" s="87"/>
      <c r="C225" s="23"/>
      <c r="D225" s="81" t="s">
        <v>38</v>
      </c>
      <c r="E225" s="82">
        <f>246.61*(ROUND(1.05,2))</f>
        <v>258.94050000000004</v>
      </c>
      <c r="F225" s="82">
        <f>246.61*(ROUND(1.05,2))</f>
        <v>258.94050000000004</v>
      </c>
      <c r="G225" s="82">
        <f>493.22*(ROUND(1.05,2))</f>
        <v>517.88100000000009</v>
      </c>
      <c r="H225" s="82">
        <f>739.83*(ROUND(1.05,2))</f>
        <v>776.82150000000013</v>
      </c>
    </row>
    <row r="226" spans="2:8" x14ac:dyDescent="0.25">
      <c r="B226" s="87"/>
      <c r="C226" s="23"/>
      <c r="D226" s="81" t="s">
        <v>39</v>
      </c>
      <c r="E226" s="82">
        <f>251.55*(ROUND(1.05,2))</f>
        <v>264.1275</v>
      </c>
      <c r="F226" s="82">
        <f>251.55*(ROUND(1.05,2))</f>
        <v>264.1275</v>
      </c>
      <c r="G226" s="82">
        <f>503.09*(ROUND(1.05,2))</f>
        <v>528.24450000000002</v>
      </c>
      <c r="H226" s="82">
        <f>754.63*(ROUND(1.05,2))</f>
        <v>792.36149999999998</v>
      </c>
    </row>
    <row r="227" spans="2:8" x14ac:dyDescent="0.25">
      <c r="B227" s="87"/>
      <c r="C227" s="23"/>
      <c r="D227" s="81" t="s">
        <v>40</v>
      </c>
      <c r="E227" s="82">
        <f>256.57*(ROUND(1.05,2))</f>
        <v>269.39850000000001</v>
      </c>
      <c r="F227" s="82">
        <f>256.57*(ROUND(1.05,2))</f>
        <v>269.39850000000001</v>
      </c>
      <c r="G227" s="82">
        <f>513.16*(ROUND(1.05,2))</f>
        <v>538.81799999999998</v>
      </c>
      <c r="H227" s="82">
        <f>769.73*(ROUND(1.05,2))</f>
        <v>808.21650000000011</v>
      </c>
    </row>
    <row r="228" spans="2:8" x14ac:dyDescent="0.25">
      <c r="B228" s="87"/>
      <c r="C228" s="23" t="s">
        <v>41</v>
      </c>
      <c r="D228" s="81" t="s">
        <v>35</v>
      </c>
      <c r="E228" s="82">
        <f>261.71*(ROUND(1.05,2))</f>
        <v>274.7955</v>
      </c>
      <c r="F228" s="82">
        <f>261.71*(ROUND(1.05,2))</f>
        <v>274.7955</v>
      </c>
      <c r="G228" s="82">
        <f>523.41*(ROUND(1.05,2))</f>
        <v>549.58050000000003</v>
      </c>
      <c r="H228" s="82">
        <f>785.12*(ROUND(1.05,2))</f>
        <v>824.37600000000009</v>
      </c>
    </row>
    <row r="229" spans="2:8" x14ac:dyDescent="0.25">
      <c r="B229" s="87"/>
      <c r="C229" s="23"/>
      <c r="D229" s="81" t="s">
        <v>36</v>
      </c>
      <c r="E229" s="82">
        <f>266.95*(ROUND(1.05,2))</f>
        <v>280.29750000000001</v>
      </c>
      <c r="F229" s="82">
        <f>266.95*(ROUND(1.05,2))</f>
        <v>280.29750000000001</v>
      </c>
      <c r="G229" s="82">
        <f>533.89*(ROUND(1.05,2))</f>
        <v>560.58450000000005</v>
      </c>
      <c r="H229" s="82">
        <f>800.85*(ROUND(1.05,2))</f>
        <v>840.89250000000004</v>
      </c>
    </row>
    <row r="230" spans="2:8" x14ac:dyDescent="0.25">
      <c r="B230" s="87"/>
      <c r="C230" s="23"/>
      <c r="D230" s="81" t="s">
        <v>37</v>
      </c>
      <c r="E230" s="82">
        <f>272.28*(ROUND(1.05,2))</f>
        <v>285.89400000000001</v>
      </c>
      <c r="F230" s="82">
        <f>272.28*(ROUND(1.05,2))</f>
        <v>285.89400000000001</v>
      </c>
      <c r="G230" s="82">
        <f>544.57*(ROUND(1.05,2))</f>
        <v>571.7985000000001</v>
      </c>
      <c r="H230" s="82">
        <f>816.85*(ROUND(1.05,2))</f>
        <v>857.69250000000011</v>
      </c>
    </row>
    <row r="231" spans="2:8" x14ac:dyDescent="0.25">
      <c r="B231" s="87"/>
      <c r="C231" s="23"/>
      <c r="D231" s="81" t="s">
        <v>38</v>
      </c>
      <c r="E231" s="82">
        <f>277.73*(ROUND(1.05,2))</f>
        <v>291.61650000000003</v>
      </c>
      <c r="F231" s="82">
        <f>277.73*(ROUND(1.05,2))</f>
        <v>291.61650000000003</v>
      </c>
      <c r="G231" s="82">
        <f>555.47*(ROUND(1.05,2))</f>
        <v>583.24350000000004</v>
      </c>
      <c r="H231" s="82">
        <f>833.19*(ROUND(1.05,2))</f>
        <v>874.84950000000015</v>
      </c>
    </row>
    <row r="232" spans="2:8" x14ac:dyDescent="0.25">
      <c r="B232" s="87"/>
      <c r="C232" s="23"/>
      <c r="D232" s="81" t="s">
        <v>39</v>
      </c>
      <c r="E232" s="82">
        <f>283.28*(ROUND(1.05,2))</f>
        <v>297.44399999999996</v>
      </c>
      <c r="F232" s="82">
        <f>283.28*(ROUND(1.05,2))</f>
        <v>297.44399999999996</v>
      </c>
      <c r="G232" s="82">
        <f>566.56*(ROUND(1.05,2))</f>
        <v>594.88799999999992</v>
      </c>
      <c r="H232" s="82">
        <f>849.83*(ROUND(1.05,2))</f>
        <v>892.32150000000013</v>
      </c>
    </row>
    <row r="233" spans="2:8" x14ac:dyDescent="0.25">
      <c r="B233" s="87"/>
      <c r="C233" s="23"/>
      <c r="D233" s="81" t="s">
        <v>40</v>
      </c>
      <c r="E233" s="82">
        <f>288.95*(ROUND(1.05,2))</f>
        <v>303.39749999999998</v>
      </c>
      <c r="F233" s="82">
        <f>288.95*(ROUND(1.05,2))</f>
        <v>303.39749999999998</v>
      </c>
      <c r="G233" s="82">
        <f>577.88*(ROUND(1.05,2))</f>
        <v>606.774</v>
      </c>
      <c r="H233" s="82">
        <f>866.83*(ROUND(1.05,2))</f>
        <v>910.17150000000004</v>
      </c>
    </row>
    <row r="234" spans="2:8" x14ac:dyDescent="0.25">
      <c r="B234" s="87"/>
      <c r="C234" s="84" t="s">
        <v>129</v>
      </c>
      <c r="D234" s="81" t="s">
        <v>35</v>
      </c>
      <c r="E234" s="82">
        <f>294.73*(ROUND(1.05,2))</f>
        <v>309.46650000000005</v>
      </c>
      <c r="F234" s="82">
        <f>294.73*(ROUND(1.05,2))</f>
        <v>309.46650000000005</v>
      </c>
      <c r="G234" s="82">
        <f>589.46*(ROUND(1.05,2))</f>
        <v>618.93300000000011</v>
      </c>
      <c r="H234" s="82">
        <f>884.19*(ROUND(1.05,2))</f>
        <v>928.3995000000001</v>
      </c>
    </row>
    <row r="235" spans="2:8" x14ac:dyDescent="0.25">
      <c r="B235" s="87"/>
      <c r="C235" s="88"/>
      <c r="D235" s="81" t="s">
        <v>36</v>
      </c>
      <c r="E235" s="82">
        <f>300.62*(ROUND(1.05,2))</f>
        <v>315.65100000000001</v>
      </c>
      <c r="F235" s="82">
        <f>300.62*(ROUND(1.05,2))</f>
        <v>315.65100000000001</v>
      </c>
      <c r="G235" s="82">
        <f>601.24*(ROUND(1.05,2))</f>
        <v>631.30200000000002</v>
      </c>
      <c r="H235" s="82">
        <f>901.85*(ROUND(1.05,2))</f>
        <v>946.94250000000011</v>
      </c>
    </row>
    <row r="236" spans="2:8" x14ac:dyDescent="0.25">
      <c r="B236" s="87"/>
      <c r="C236" s="88"/>
      <c r="D236" s="81" t="s">
        <v>37</v>
      </c>
      <c r="E236" s="82">
        <f>306.63*(ROUND(1.05,2))</f>
        <v>321.9615</v>
      </c>
      <c r="F236" s="82">
        <f>306.63*(ROUND(1.05,2))</f>
        <v>321.9615</v>
      </c>
      <c r="G236" s="82">
        <f>613.27*(ROUND(1.05,2))</f>
        <v>643.93349999999998</v>
      </c>
      <c r="H236" s="82">
        <f>919.9*(ROUND(1.05,2))</f>
        <v>965.89499999999998</v>
      </c>
    </row>
    <row r="237" spans="2:8" x14ac:dyDescent="0.25">
      <c r="B237" s="87"/>
      <c r="C237" s="88"/>
      <c r="D237" s="81" t="s">
        <v>38</v>
      </c>
      <c r="E237" s="82">
        <f>312.76*(ROUND(1.05,2))</f>
        <v>328.39800000000002</v>
      </c>
      <c r="F237" s="82">
        <f>312.76*(ROUND(1.05,2))</f>
        <v>328.39800000000002</v>
      </c>
      <c r="G237" s="82">
        <f>625.53*(ROUND(1.05,2))</f>
        <v>656.80650000000003</v>
      </c>
      <c r="H237" s="82">
        <f>938.29*(ROUND(1.05,2))</f>
        <v>985.20450000000005</v>
      </c>
    </row>
    <row r="238" spans="2:8" x14ac:dyDescent="0.25">
      <c r="B238" s="87"/>
      <c r="C238" s="88"/>
      <c r="D238" s="81" t="s">
        <v>39</v>
      </c>
      <c r="E238" s="82">
        <f>319.02*(ROUND(1.05,2))</f>
        <v>334.971</v>
      </c>
      <c r="F238" s="82">
        <f>319.02*(ROUND(1.05,2))</f>
        <v>334.971</v>
      </c>
      <c r="G238" s="82">
        <f>638.04*(ROUND(1.05,2))</f>
        <v>669.94200000000001</v>
      </c>
      <c r="H238" s="82">
        <f>957.06*(ROUND(1.05,2))</f>
        <v>1004.913</v>
      </c>
    </row>
    <row r="239" spans="2:8" x14ac:dyDescent="0.25">
      <c r="B239" s="89"/>
      <c r="C239" s="90"/>
      <c r="D239" s="81" t="s">
        <v>40</v>
      </c>
      <c r="E239" s="82">
        <f>325.46*(ROUND(1.05,2))</f>
        <v>341.733</v>
      </c>
      <c r="F239" s="82">
        <f>325.46*(ROUND(1.05,2))</f>
        <v>341.733</v>
      </c>
      <c r="G239" s="82">
        <f>650.8*(ROUND(1.05,2))</f>
        <v>683.34</v>
      </c>
      <c r="H239" s="82">
        <f>976.2*(ROUND(1.05,2))</f>
        <v>1025.01</v>
      </c>
    </row>
    <row r="241" spans="2:8" x14ac:dyDescent="0.25">
      <c r="B241" s="67" t="s">
        <v>132</v>
      </c>
      <c r="C241" s="28" t="s">
        <v>133</v>
      </c>
      <c r="D241" s="28" t="s">
        <v>134</v>
      </c>
      <c r="E241" s="78" t="s">
        <v>124</v>
      </c>
      <c r="F241" s="78"/>
      <c r="G241" s="78"/>
      <c r="H241" s="78"/>
    </row>
    <row r="242" spans="2:8" ht="30" x14ac:dyDescent="0.25">
      <c r="B242" s="67"/>
      <c r="C242" s="28"/>
      <c r="D242" s="28"/>
      <c r="E242" s="79" t="s">
        <v>135</v>
      </c>
      <c r="F242" s="79" t="s">
        <v>125</v>
      </c>
      <c r="G242" s="79" t="s">
        <v>126</v>
      </c>
      <c r="H242" s="79" t="s">
        <v>127</v>
      </c>
    </row>
    <row r="243" spans="2:8" x14ac:dyDescent="0.25">
      <c r="B243" s="23" t="s">
        <v>138</v>
      </c>
      <c r="C243" s="33" t="s">
        <v>34</v>
      </c>
      <c r="D243" s="81" t="s">
        <v>35</v>
      </c>
      <c r="E243" s="82">
        <f>158.38*(ROUND(1.05,2))</f>
        <v>166.29900000000001</v>
      </c>
      <c r="F243" s="82">
        <f>158.38*(ROUND(1.05,2))</f>
        <v>166.29900000000001</v>
      </c>
      <c r="G243" s="82">
        <f>316.75*(ROUND(1.05,2))</f>
        <v>332.58750000000003</v>
      </c>
      <c r="H243" s="82">
        <f>475.13*(ROUND(1.05,2))</f>
        <v>498.88650000000001</v>
      </c>
    </row>
    <row r="244" spans="2:8" x14ac:dyDescent="0.25">
      <c r="B244" s="23"/>
      <c r="C244" s="33"/>
      <c r="D244" s="81" t="s">
        <v>36</v>
      </c>
      <c r="E244" s="82">
        <f>161.54*(ROUND(1.05,2))</f>
        <v>169.61699999999999</v>
      </c>
      <c r="F244" s="82">
        <f>161.54*(ROUND(1.05,2))</f>
        <v>169.61699999999999</v>
      </c>
      <c r="G244" s="82">
        <f>323.09*(ROUND(1.05,2))</f>
        <v>339.24450000000002</v>
      </c>
      <c r="H244" s="82">
        <f>484.62*(ROUND(1.05,2))</f>
        <v>508.851</v>
      </c>
    </row>
    <row r="245" spans="2:8" x14ac:dyDescent="0.25">
      <c r="B245" s="23"/>
      <c r="C245" s="33"/>
      <c r="D245" s="81" t="s">
        <v>37</v>
      </c>
      <c r="E245" s="82">
        <f>164.77*(ROUND(1.05,2))</f>
        <v>173.00850000000003</v>
      </c>
      <c r="F245" s="82">
        <f>164.77*(ROUND(1.05,2))</f>
        <v>173.00850000000003</v>
      </c>
      <c r="G245" s="82">
        <f>329.54*(ROUND(1.05,2))</f>
        <v>346.01700000000005</v>
      </c>
      <c r="H245" s="82">
        <f>494.31*(ROUND(1.05,2))</f>
        <v>519.02550000000008</v>
      </c>
    </row>
    <row r="246" spans="2:8" x14ac:dyDescent="0.25">
      <c r="B246" s="23"/>
      <c r="C246" s="33"/>
      <c r="D246" s="81" t="s">
        <v>38</v>
      </c>
      <c r="E246" s="82">
        <f>168.07*(ROUND(1.05,2))</f>
        <v>176.4735</v>
      </c>
      <c r="F246" s="82">
        <f>168.07*(ROUND(1.05,2))</f>
        <v>176.4735</v>
      </c>
      <c r="G246" s="82">
        <f>336.12*(ROUND(1.05,2))</f>
        <v>352.92600000000004</v>
      </c>
      <c r="H246" s="82">
        <f>504.2*(ROUND(1.05,2))</f>
        <v>529.41</v>
      </c>
    </row>
    <row r="247" spans="2:8" x14ac:dyDescent="0.25">
      <c r="B247" s="23"/>
      <c r="C247" s="33"/>
      <c r="D247" s="81" t="s">
        <v>39</v>
      </c>
      <c r="E247" s="82">
        <f>171.42*(ROUND(1.05,2))</f>
        <v>179.99099999999999</v>
      </c>
      <c r="F247" s="82">
        <f>171.42*(ROUND(1.05,2))</f>
        <v>179.99099999999999</v>
      </c>
      <c r="G247" s="82">
        <f>342.85*(ROUND(1.05,2))</f>
        <v>359.99250000000006</v>
      </c>
      <c r="H247" s="82">
        <f>514.28*(ROUND(1.05,2))</f>
        <v>539.99400000000003</v>
      </c>
    </row>
    <row r="248" spans="2:8" x14ac:dyDescent="0.25">
      <c r="B248" s="23"/>
      <c r="C248" s="33"/>
      <c r="D248" s="81" t="s">
        <v>40</v>
      </c>
      <c r="E248" s="82">
        <f>174.86*(ROUND(1.05,2))</f>
        <v>183.60300000000001</v>
      </c>
      <c r="F248" s="82">
        <f>174.86*(ROUND(1.05,2))</f>
        <v>183.60300000000001</v>
      </c>
      <c r="G248" s="82">
        <f>349.72*(ROUND(1.05,2))</f>
        <v>367.20600000000002</v>
      </c>
      <c r="H248" s="82">
        <f>524.59*(ROUND(1.05,2))</f>
        <v>550.81950000000006</v>
      </c>
    </row>
    <row r="249" spans="2:8" x14ac:dyDescent="0.25">
      <c r="B249" s="23"/>
      <c r="C249" s="33" t="s">
        <v>41</v>
      </c>
      <c r="D249" s="81" t="s">
        <v>35</v>
      </c>
      <c r="E249" s="82">
        <f>178.35*(ROUND(1.05,2))</f>
        <v>187.26750000000001</v>
      </c>
      <c r="F249" s="82">
        <f>178.35*(ROUND(1.05,2))</f>
        <v>187.26750000000001</v>
      </c>
      <c r="G249" s="82">
        <f>356.7*(ROUND(1.05,2))</f>
        <v>374.53500000000003</v>
      </c>
      <c r="H249" s="82">
        <f>535.05*(ROUND(1.05,2))</f>
        <v>561.80250000000001</v>
      </c>
    </row>
    <row r="250" spans="2:8" x14ac:dyDescent="0.25">
      <c r="B250" s="23"/>
      <c r="C250" s="33"/>
      <c r="D250" s="81" t="s">
        <v>36</v>
      </c>
      <c r="E250" s="82">
        <f>181.91*(ROUND(1.05,2))</f>
        <v>191.00550000000001</v>
      </c>
      <c r="F250" s="82">
        <f>181.91*(ROUND(1.05,2))</f>
        <v>191.00550000000001</v>
      </c>
      <c r="G250" s="82">
        <f>363.84*(ROUND(1.05,2))</f>
        <v>382.03199999999998</v>
      </c>
      <c r="H250" s="82">
        <f>545.75*(ROUND(1.05,2))</f>
        <v>573.03750000000002</v>
      </c>
    </row>
    <row r="251" spans="2:8" x14ac:dyDescent="0.25">
      <c r="B251" s="23"/>
      <c r="C251" s="33"/>
      <c r="D251" s="81" t="s">
        <v>37</v>
      </c>
      <c r="E251" s="82">
        <f>185.56*(ROUND(1.05,2))</f>
        <v>194.83800000000002</v>
      </c>
      <c r="F251" s="82">
        <f>185.56*(ROUND(1.05,2))</f>
        <v>194.83800000000002</v>
      </c>
      <c r="G251" s="82">
        <f>371.12*(ROUND(1.05,2))</f>
        <v>389.67600000000004</v>
      </c>
      <c r="H251" s="82">
        <f>556.68*(ROUND(1.05,2))</f>
        <v>584.51400000000001</v>
      </c>
    </row>
    <row r="252" spans="2:8" x14ac:dyDescent="0.25">
      <c r="B252" s="23"/>
      <c r="C252" s="33"/>
      <c r="D252" s="81" t="s">
        <v>38</v>
      </c>
      <c r="E252" s="82">
        <f>189.27*(ROUND(1.05,2))</f>
        <v>198.73350000000002</v>
      </c>
      <c r="F252" s="82">
        <f>189.27*(ROUND(1.05,2))</f>
        <v>198.73350000000002</v>
      </c>
      <c r="G252" s="82">
        <f>378.53*(ROUND(1.05,2))</f>
        <v>397.45650000000001</v>
      </c>
      <c r="H252" s="82">
        <f>567.8*(ROUND(1.05,2))</f>
        <v>596.18999999999994</v>
      </c>
    </row>
    <row r="253" spans="2:8" x14ac:dyDescent="0.25">
      <c r="B253" s="23"/>
      <c r="C253" s="33"/>
      <c r="D253" s="81" t="s">
        <v>139</v>
      </c>
      <c r="E253" s="82">
        <f>193.06*(ROUND(1.05,2))</f>
        <v>202.71300000000002</v>
      </c>
      <c r="F253" s="82">
        <f>193.06*(ROUND(1.05,2))</f>
        <v>202.71300000000002</v>
      </c>
      <c r="G253" s="82">
        <f>386.11*(ROUND(1.05,2))</f>
        <v>405.41550000000001</v>
      </c>
      <c r="H253" s="82">
        <f>579.16*(ROUND(1.05,2))</f>
        <v>608.11799999999994</v>
      </c>
    </row>
    <row r="254" spans="2:8" x14ac:dyDescent="0.25">
      <c r="B254" s="23"/>
      <c r="C254" s="33"/>
      <c r="D254" s="81" t="s">
        <v>40</v>
      </c>
      <c r="E254" s="82">
        <f>196.92*(ROUND(1.05,2))</f>
        <v>206.76599999999999</v>
      </c>
      <c r="F254" s="82">
        <f>196.92*(ROUND(1.05,2))</f>
        <v>206.76599999999999</v>
      </c>
      <c r="G254" s="82">
        <f>393.84*(ROUND(1.05,2))</f>
        <v>413.53199999999998</v>
      </c>
      <c r="H254" s="82">
        <f>590.76*(ROUND(1.05,2))</f>
        <v>620.298</v>
      </c>
    </row>
    <row r="255" spans="2:8" x14ac:dyDescent="0.25">
      <c r="B255" s="23"/>
      <c r="C255" s="33" t="s">
        <v>129</v>
      </c>
      <c r="D255" s="81" t="s">
        <v>35</v>
      </c>
      <c r="E255" s="82">
        <f>200.85*(ROUND(1.05,2))</f>
        <v>210.89250000000001</v>
      </c>
      <c r="F255" s="82">
        <f>200.85*(ROUND(1.05,2))</f>
        <v>210.89250000000001</v>
      </c>
      <c r="G255" s="82">
        <f>401.71*(ROUND(1.05,2))</f>
        <v>421.7955</v>
      </c>
      <c r="H255" s="82">
        <f>602.56*(ROUND(1.05,2))</f>
        <v>632.68799999999999</v>
      </c>
    </row>
    <row r="256" spans="2:8" x14ac:dyDescent="0.25">
      <c r="B256" s="23"/>
      <c r="C256" s="33"/>
      <c r="D256" s="81" t="s">
        <v>36</v>
      </c>
      <c r="E256" s="82">
        <f>204.88*(ROUND(1.05,2))</f>
        <v>215.124</v>
      </c>
      <c r="F256" s="82">
        <f>204.88*(ROUND(1.05,2))</f>
        <v>215.124</v>
      </c>
      <c r="G256" s="82">
        <f>409.74*(ROUND(1.05,2))</f>
        <v>430.22700000000003</v>
      </c>
      <c r="H256" s="82">
        <f>614.63*(ROUND(1.05,2))</f>
        <v>645.36149999999998</v>
      </c>
    </row>
    <row r="257" spans="2:8" x14ac:dyDescent="0.25">
      <c r="B257" s="23"/>
      <c r="C257" s="33"/>
      <c r="D257" s="81" t="s">
        <v>37</v>
      </c>
      <c r="E257" s="82">
        <f>208.97*(ROUND(1.05,2))</f>
        <v>219.41849999999999</v>
      </c>
      <c r="F257" s="82">
        <f>208.97*(ROUND(1.05,2))</f>
        <v>219.41849999999999</v>
      </c>
      <c r="G257" s="82">
        <f>417.94*(ROUND(1.05,2))</f>
        <v>438.83699999999999</v>
      </c>
      <c r="H257" s="82">
        <f>626.91*(ROUND(1.05,2))</f>
        <v>658.25549999999998</v>
      </c>
    </row>
    <row r="258" spans="2:8" x14ac:dyDescent="0.25">
      <c r="B258" s="23"/>
      <c r="C258" s="33"/>
      <c r="D258" s="81" t="s">
        <v>38</v>
      </c>
      <c r="E258" s="82">
        <f>213.14*(ROUND(1.05,2))</f>
        <v>223.797</v>
      </c>
      <c r="F258" s="82">
        <f>213.14*(ROUND(1.05,2))</f>
        <v>223.797</v>
      </c>
      <c r="G258" s="82">
        <f>426.31*(ROUND(1.05,2))</f>
        <v>447.62550000000005</v>
      </c>
      <c r="H258" s="82">
        <f>639.45*(ROUND(1.05,2))</f>
        <v>671.42250000000013</v>
      </c>
    </row>
    <row r="259" spans="2:8" x14ac:dyDescent="0.25">
      <c r="B259" s="23"/>
      <c r="C259" s="33"/>
      <c r="D259" s="81" t="s">
        <v>39</v>
      </c>
      <c r="E259" s="82">
        <f>217.4*(ROUND(1.05,2))</f>
        <v>228.27</v>
      </c>
      <c r="F259" s="82">
        <f>217.4*(ROUND(1.05,2))</f>
        <v>228.27</v>
      </c>
      <c r="G259" s="82">
        <f>434.81*(ROUND(1.05,2))</f>
        <v>456.5505</v>
      </c>
      <c r="H259" s="82">
        <f>652.23*(ROUND(1.05,2))</f>
        <v>684.8415</v>
      </c>
    </row>
    <row r="260" spans="2:8" x14ac:dyDescent="0.25">
      <c r="B260" s="23"/>
      <c r="C260" s="33"/>
      <c r="D260" s="81" t="s">
        <v>40</v>
      </c>
      <c r="E260" s="82">
        <f>221.75*(ROUND(1.05,2))</f>
        <v>232.83750000000001</v>
      </c>
      <c r="F260" s="82">
        <f>221.75*(ROUND(1.05,2))</f>
        <v>232.83750000000001</v>
      </c>
      <c r="G260" s="82">
        <f>443.52*(ROUND(1.05,2))</f>
        <v>465.69600000000003</v>
      </c>
      <c r="H260" s="82">
        <f>665.28*(ROUND(1.05,2))</f>
        <v>698.54399999999998</v>
      </c>
    </row>
    <row r="263" spans="2:8" x14ac:dyDescent="0.25">
      <c r="B263" t="s">
        <v>140</v>
      </c>
    </row>
    <row r="264" spans="2:8" x14ac:dyDescent="0.25">
      <c r="B264" s="33" t="s">
        <v>141</v>
      </c>
      <c r="C264" s="33"/>
      <c r="D264" s="33"/>
      <c r="E264" s="33"/>
      <c r="F264" s="33"/>
      <c r="G264" s="33"/>
      <c r="H264" s="33"/>
    </row>
    <row r="265" spans="2:8" x14ac:dyDescent="0.25">
      <c r="B265" s="67" t="s">
        <v>132</v>
      </c>
      <c r="C265" s="28" t="s">
        <v>133</v>
      </c>
      <c r="D265" s="28" t="s">
        <v>134</v>
      </c>
      <c r="E265" s="78" t="s">
        <v>124</v>
      </c>
      <c r="F265" s="78"/>
      <c r="G265" s="78"/>
      <c r="H265" s="78"/>
    </row>
    <row r="266" spans="2:8" ht="30" x14ac:dyDescent="0.25">
      <c r="B266" s="67"/>
      <c r="C266" s="28"/>
      <c r="D266" s="28"/>
      <c r="E266" s="79" t="s">
        <v>135</v>
      </c>
      <c r="F266" s="79" t="s">
        <v>125</v>
      </c>
      <c r="G266" s="79" t="s">
        <v>126</v>
      </c>
      <c r="H266" s="79" t="s">
        <v>127</v>
      </c>
    </row>
    <row r="267" spans="2:8" x14ac:dyDescent="0.25">
      <c r="B267" s="23" t="s">
        <v>142</v>
      </c>
      <c r="C267" s="33" t="s">
        <v>34</v>
      </c>
      <c r="D267" s="44" t="s">
        <v>35</v>
      </c>
      <c r="E267" s="82">
        <f>134.13*(ROUND(1.05,2))</f>
        <v>140.8365</v>
      </c>
      <c r="F267" s="82">
        <f>134.13*(ROUND(1.05,2))</f>
        <v>140.8365</v>
      </c>
      <c r="G267" s="82">
        <f>268.28*(ROUND(1.05,2))</f>
        <v>281.69399999999996</v>
      </c>
      <c r="H267" s="82">
        <f>402.42*(ROUND(1.05,2))</f>
        <v>422.54100000000005</v>
      </c>
    </row>
    <row r="268" spans="2:8" x14ac:dyDescent="0.25">
      <c r="B268" s="23"/>
      <c r="C268" s="33"/>
      <c r="D268" s="44" t="s">
        <v>36</v>
      </c>
      <c r="E268" s="82">
        <f>136.82*(ROUND(1.05,2))</f>
        <v>143.661</v>
      </c>
      <c r="F268" s="82">
        <f>136.82*(ROUND(1.05,2))</f>
        <v>143.661</v>
      </c>
      <c r="G268" s="82">
        <f>273.63*(ROUND(1.05,2))</f>
        <v>287.31150000000002</v>
      </c>
      <c r="H268" s="82">
        <f>410.46*(ROUND(1.05,2))</f>
        <v>430.983</v>
      </c>
    </row>
    <row r="269" spans="2:8" x14ac:dyDescent="0.25">
      <c r="B269" s="23"/>
      <c r="C269" s="33"/>
      <c r="D269" s="44" t="s">
        <v>37</v>
      </c>
      <c r="E269" s="82">
        <f>139.55*(ROUND(1.05,2))</f>
        <v>146.52750000000003</v>
      </c>
      <c r="F269" s="82">
        <f>139.55*(ROUND(1.05,2))</f>
        <v>146.52750000000003</v>
      </c>
      <c r="G269" s="82">
        <f>279.13*(ROUND(1.05,2))</f>
        <v>293.0865</v>
      </c>
      <c r="H269" s="82">
        <f>418.68*(ROUND(1.05,2))</f>
        <v>439.61400000000003</v>
      </c>
    </row>
    <row r="270" spans="2:8" x14ac:dyDescent="0.25">
      <c r="B270" s="23"/>
      <c r="C270" s="33"/>
      <c r="D270" s="44" t="s">
        <v>38</v>
      </c>
      <c r="E270" s="82">
        <f>142.36*(ROUND(1.05,2))</f>
        <v>149.47800000000001</v>
      </c>
      <c r="F270" s="82">
        <f>142.36*(ROUND(1.05,2))</f>
        <v>149.47800000000001</v>
      </c>
      <c r="G270" s="82">
        <f>284.7*(ROUND(1.05,2))</f>
        <v>298.935</v>
      </c>
      <c r="H270" s="82">
        <f>427.06*(ROUND(1.05,2))</f>
        <v>448.41300000000001</v>
      </c>
    </row>
    <row r="271" spans="2:8" x14ac:dyDescent="0.25">
      <c r="B271" s="23"/>
      <c r="C271" s="33"/>
      <c r="D271" s="44" t="s">
        <v>39</v>
      </c>
      <c r="E271" s="82">
        <f>145.19*(ROUND(1.05,2))</f>
        <v>152.4495</v>
      </c>
      <c r="F271" s="82">
        <f>145.19*(ROUND(1.05,2))</f>
        <v>152.4495</v>
      </c>
      <c r="G271" s="82">
        <f>290.38*(ROUND(1.05,2))</f>
        <v>304.899</v>
      </c>
      <c r="H271" s="82">
        <f>435.57*(ROUND(1.05,2))</f>
        <v>457.3485</v>
      </c>
    </row>
    <row r="272" spans="2:8" x14ac:dyDescent="0.25">
      <c r="B272" s="23"/>
      <c r="C272" s="33"/>
      <c r="D272" s="44" t="s">
        <v>40</v>
      </c>
      <c r="E272" s="82">
        <f>148.1*(ROUND(1.05,2))</f>
        <v>155.505</v>
      </c>
      <c r="F272" s="82">
        <f>148.1*(ROUND(1.05,2))</f>
        <v>155.505</v>
      </c>
      <c r="G272" s="82">
        <f>296.21*(ROUND(1.05,2))</f>
        <v>311.02049999999997</v>
      </c>
      <c r="H272" s="82">
        <f>444.31*(ROUND(1.05,2))</f>
        <v>466.52550000000002</v>
      </c>
    </row>
    <row r="273" spans="2:9" x14ac:dyDescent="0.25">
      <c r="B273" s="23"/>
      <c r="C273" s="23" t="s">
        <v>41</v>
      </c>
      <c r="D273" s="44" t="s">
        <v>35</v>
      </c>
      <c r="E273" s="82">
        <f>151.06*(ROUND(1.05,2))</f>
        <v>158.613</v>
      </c>
      <c r="F273" s="82">
        <f>151.06*(ROUND(1.05,2))</f>
        <v>158.613</v>
      </c>
      <c r="G273" s="82">
        <f>302.12*(ROUND(1.05,2))</f>
        <v>317.226</v>
      </c>
      <c r="H273" s="82">
        <f>453.19*(ROUND(1.05,2))</f>
        <v>475.84950000000003</v>
      </c>
    </row>
    <row r="274" spans="2:9" x14ac:dyDescent="0.25">
      <c r="B274" s="23"/>
      <c r="C274" s="23"/>
      <c r="D274" s="44" t="s">
        <v>36</v>
      </c>
      <c r="E274" s="82">
        <f>154.08*(ROUND(1.05,2))</f>
        <v>161.78400000000002</v>
      </c>
      <c r="F274" s="82">
        <f>154.08*(ROUND(1.05,2))</f>
        <v>161.78400000000002</v>
      </c>
      <c r="G274" s="82">
        <f>308.17*(ROUND(1.05,2))</f>
        <v>323.57850000000002</v>
      </c>
      <c r="H274" s="82">
        <f>462.25*(ROUND(1.05,2))</f>
        <v>485.36250000000001</v>
      </c>
    </row>
    <row r="275" spans="2:9" x14ac:dyDescent="0.25">
      <c r="B275" s="23"/>
      <c r="C275" s="23"/>
      <c r="D275" s="44" t="s">
        <v>37</v>
      </c>
      <c r="E275" s="82">
        <f>157.16*(ROUND(1.05,2))</f>
        <v>165.018</v>
      </c>
      <c r="F275" s="82">
        <f>157.16*(ROUND(1.05,2))</f>
        <v>165.018</v>
      </c>
      <c r="G275" s="82">
        <f>314.31*(ROUND(1.05,2))</f>
        <v>330.02550000000002</v>
      </c>
      <c r="H275" s="82">
        <f>471.47*(ROUND(1.05,2))</f>
        <v>495.04350000000005</v>
      </c>
    </row>
    <row r="276" spans="2:9" x14ac:dyDescent="0.25">
      <c r="B276" s="23"/>
      <c r="C276" s="23"/>
      <c r="D276" s="44" t="s">
        <v>38</v>
      </c>
      <c r="E276" s="82">
        <f>160.31*(ROUND(1.05,2))</f>
        <v>168.32550000000001</v>
      </c>
      <c r="F276" s="82">
        <f>160.31*(ROUND(1.05,2))</f>
        <v>168.32550000000001</v>
      </c>
      <c r="G276" s="82">
        <f>320.62*(ROUND(1.05,2))</f>
        <v>336.65100000000001</v>
      </c>
      <c r="H276" s="82">
        <f>480.93*(ROUND(1.05,2))</f>
        <v>504.97650000000004</v>
      </c>
    </row>
    <row r="277" spans="2:9" x14ac:dyDescent="0.25">
      <c r="B277" s="23"/>
      <c r="C277" s="23"/>
      <c r="D277" s="44" t="s">
        <v>39</v>
      </c>
      <c r="E277" s="82">
        <f>163.52*(ROUND(1.05,2))</f>
        <v>171.69600000000003</v>
      </c>
      <c r="F277" s="82">
        <f>163.52*(ROUND(1.05,2))</f>
        <v>171.69600000000003</v>
      </c>
      <c r="G277" s="82">
        <f>327.03*(ROUND(1.05,2))</f>
        <v>343.38149999999996</v>
      </c>
      <c r="H277" s="82">
        <f>490.55*(ROUND(1.05,2))</f>
        <v>515.07749999999999</v>
      </c>
    </row>
    <row r="278" spans="2:9" x14ac:dyDescent="0.25">
      <c r="B278" s="23"/>
      <c r="C278" s="23"/>
      <c r="D278" s="44" t="s">
        <v>40</v>
      </c>
      <c r="E278" s="82">
        <f>166.79*(ROUND(1.05,2))</f>
        <v>175.12950000000001</v>
      </c>
      <c r="F278" s="82">
        <f>166.79*(ROUND(1.05,2))</f>
        <v>175.12950000000001</v>
      </c>
      <c r="G278" s="82">
        <f>333.56*(ROUND(1.05,2))</f>
        <v>350.238</v>
      </c>
      <c r="H278" s="82">
        <f>500.36*(ROUND(1.05,2))</f>
        <v>525.37800000000004</v>
      </c>
    </row>
    <row r="279" spans="2:9" x14ac:dyDescent="0.25">
      <c r="B279" s="23"/>
      <c r="C279" s="33" t="s">
        <v>129</v>
      </c>
      <c r="D279" s="44" t="s">
        <v>35</v>
      </c>
      <c r="E279" s="82">
        <f>170.12*(ROUND(1.05,2))</f>
        <v>178.626</v>
      </c>
      <c r="F279" s="82">
        <f>170.12*(ROUND(1.05,2))</f>
        <v>178.626</v>
      </c>
      <c r="G279" s="82">
        <f>340.25*(ROUND(1.05,2))</f>
        <v>357.26249999999999</v>
      </c>
      <c r="H279" s="82">
        <f>510.37*(ROUND(1.05,2))</f>
        <v>535.88850000000002</v>
      </c>
    </row>
    <row r="280" spans="2:9" x14ac:dyDescent="0.25">
      <c r="B280" s="23"/>
      <c r="C280" s="33"/>
      <c r="D280" s="44" t="s">
        <v>36</v>
      </c>
      <c r="E280" s="82">
        <f>173.52*(ROUND(1.05,2))</f>
        <v>182.19600000000003</v>
      </c>
      <c r="F280" s="82">
        <f>173.52*(ROUND(1.05,2))</f>
        <v>182.19600000000003</v>
      </c>
      <c r="G280" s="82">
        <f>347.05*(ROUND(1.05,2))</f>
        <v>364.40250000000003</v>
      </c>
      <c r="H280" s="82">
        <f>520.57*(ROUND(1.05,2))</f>
        <v>546.59850000000006</v>
      </c>
    </row>
    <row r="281" spans="2:9" x14ac:dyDescent="0.25">
      <c r="B281" s="23"/>
      <c r="C281" s="33"/>
      <c r="D281" s="44" t="s">
        <v>37</v>
      </c>
      <c r="E281" s="82">
        <f>176.99*(ROUND(1.05,2))</f>
        <v>185.83950000000002</v>
      </c>
      <c r="F281" s="82">
        <f>176.99*(ROUND(1.05,2))</f>
        <v>185.83950000000002</v>
      </c>
      <c r="G281" s="82">
        <f>353.99*(ROUND(1.05,2))</f>
        <v>371.68950000000001</v>
      </c>
      <c r="H281" s="82">
        <f>530.99*(ROUND(1.05,2))</f>
        <v>557.53950000000009</v>
      </c>
    </row>
    <row r="282" spans="2:9" x14ac:dyDescent="0.25">
      <c r="B282" s="23"/>
      <c r="C282" s="33"/>
      <c r="D282" s="44" t="s">
        <v>38</v>
      </c>
      <c r="E282" s="82">
        <f>180.52*(ROUND(1.05,2))</f>
        <v>189.54600000000002</v>
      </c>
      <c r="F282" s="82">
        <f>180.52*(ROUND(1.05,2))</f>
        <v>189.54600000000002</v>
      </c>
      <c r="G282" s="82">
        <f>361.05*(ROUND(1.05,2))</f>
        <v>379.10250000000002</v>
      </c>
      <c r="H282" s="82">
        <f>541.58*(ROUND(1.05,2))</f>
        <v>568.65900000000011</v>
      </c>
    </row>
    <row r="283" spans="2:9" x14ac:dyDescent="0.25">
      <c r="B283" s="23"/>
      <c r="C283" s="33"/>
      <c r="D283" s="44" t="s">
        <v>39</v>
      </c>
      <c r="E283" s="82">
        <f>184.14*(ROUND(1.05,2))</f>
        <v>193.34699999999998</v>
      </c>
      <c r="F283" s="82">
        <f>184.14*(ROUND(1.05,2))</f>
        <v>193.34699999999998</v>
      </c>
      <c r="G283" s="82">
        <f>368.27*(ROUND(1.05,2))</f>
        <v>386.68349999999998</v>
      </c>
      <c r="H283" s="82">
        <f>552.41*(ROUND(1.05,2))</f>
        <v>580.03049999999996</v>
      </c>
    </row>
    <row r="284" spans="2:9" x14ac:dyDescent="0.25">
      <c r="B284" s="23"/>
      <c r="C284" s="33"/>
      <c r="D284" s="44" t="s">
        <v>40</v>
      </c>
      <c r="E284" s="82">
        <f>187.81*(ROUND(1.05,2))</f>
        <v>197.20050000000001</v>
      </c>
      <c r="F284" s="82">
        <f>187.81*(ROUND(1.05,2))</f>
        <v>197.20050000000001</v>
      </c>
      <c r="G284" s="82">
        <f>375.65*(ROUND(1.05,2))</f>
        <v>394.4325</v>
      </c>
      <c r="H284" s="82">
        <f>563.45*(ROUND(1.05,2))</f>
        <v>591.62250000000006</v>
      </c>
    </row>
    <row r="288" spans="2:9" ht="21" x14ac:dyDescent="0.35">
      <c r="B288" s="1" t="s">
        <v>143</v>
      </c>
      <c r="C288" s="1"/>
      <c r="D288" s="1"/>
      <c r="E288" s="1"/>
      <c r="F288" s="1"/>
      <c r="G288" s="1"/>
      <c r="H288" s="1"/>
      <c r="I288" s="1"/>
    </row>
    <row r="290" spans="2:12" x14ac:dyDescent="0.25">
      <c r="B290" t="s">
        <v>144</v>
      </c>
    </row>
    <row r="291" spans="2:12" x14ac:dyDescent="0.25">
      <c r="B291" t="s">
        <v>145</v>
      </c>
    </row>
    <row r="293" spans="2:12" x14ac:dyDescent="0.25">
      <c r="B293" s="24" t="s">
        <v>146</v>
      </c>
      <c r="C293" s="24" t="s">
        <v>147</v>
      </c>
      <c r="D293" s="24" t="s">
        <v>148</v>
      </c>
    </row>
    <row r="294" spans="2:12" x14ac:dyDescent="0.25">
      <c r="B294" s="24" t="s">
        <v>149</v>
      </c>
      <c r="C294" s="91">
        <f>3530.34*(ROUND(1.05,2))</f>
        <v>3706.8570000000004</v>
      </c>
      <c r="D294" s="91">
        <f>1765.17*(ROUND(1.05,2))</f>
        <v>1853.4285000000002</v>
      </c>
      <c r="E294" s="92"/>
      <c r="F294" s="92"/>
      <c r="J294" s="63"/>
      <c r="K294" s="63"/>
      <c r="L294" s="63"/>
    </row>
    <row r="295" spans="2:12" x14ac:dyDescent="0.25">
      <c r="B295" s="24" t="s">
        <v>150</v>
      </c>
      <c r="C295" s="91">
        <f>5707.1*(ROUND(1.05,2))</f>
        <v>5992.4550000000008</v>
      </c>
      <c r="D295" s="91">
        <f>2853.55*(ROUND(1.05,2))</f>
        <v>2996.2275000000004</v>
      </c>
      <c r="E295" s="92"/>
      <c r="F295" s="92"/>
      <c r="J295" s="63"/>
      <c r="K295" s="63"/>
      <c r="L295" s="63"/>
    </row>
    <row r="296" spans="2:12" x14ac:dyDescent="0.25">
      <c r="B296" s="24" t="s">
        <v>151</v>
      </c>
      <c r="C296" s="91">
        <f>7092.34*(ROUND(1.05,2))</f>
        <v>7446.9570000000003</v>
      </c>
      <c r="D296" s="91">
        <f>3546.17*(ROUND(1.05,2))</f>
        <v>3723.4785000000002</v>
      </c>
      <c r="E296" s="92"/>
      <c r="F296" s="92"/>
      <c r="J296" s="63"/>
      <c r="K296" s="63"/>
      <c r="L296" s="63"/>
    </row>
    <row r="297" spans="2:12" x14ac:dyDescent="0.25">
      <c r="B297" s="24" t="s">
        <v>152</v>
      </c>
      <c r="C297" s="91">
        <f>8081.77*(ROUND(1.05,2))</f>
        <v>8485.8585000000003</v>
      </c>
      <c r="D297" s="93">
        <f>4040.88*(ROUND(1.05,2))</f>
        <v>4242.924</v>
      </c>
      <c r="E297" s="92"/>
      <c r="F297" s="92"/>
      <c r="J297" s="63"/>
      <c r="K297" s="63"/>
      <c r="L297" s="63"/>
    </row>
    <row r="298" spans="2:12" x14ac:dyDescent="0.25">
      <c r="B298" s="24" t="s">
        <v>153</v>
      </c>
      <c r="C298" s="91">
        <f>12039.53*(ROUND(1.05,2))</f>
        <v>12641.506500000001</v>
      </c>
      <c r="D298" s="93">
        <f>6019.77*(ROUND(1.05,2))-0.01</f>
        <v>6320.7485000000006</v>
      </c>
      <c r="E298" s="92"/>
      <c r="F298" s="92"/>
      <c r="J298" s="63"/>
      <c r="K298" s="63"/>
      <c r="L298" s="63"/>
    </row>
    <row r="299" spans="2:12" x14ac:dyDescent="0.25">
      <c r="B299" s="24" t="s">
        <v>154</v>
      </c>
      <c r="C299" s="91">
        <f>15420.25*(ROUND(1.05,2))</f>
        <v>16191.262500000001</v>
      </c>
      <c r="D299" s="93">
        <f>7710.12*(ROUND(1.05,2))</f>
        <v>8095.6260000000002</v>
      </c>
      <c r="E299" s="92"/>
      <c r="F299" s="92"/>
      <c r="J299" s="63"/>
      <c r="K299" s="63"/>
      <c r="L299" s="63"/>
    </row>
    <row r="300" spans="2:12" x14ac:dyDescent="0.25">
      <c r="B300" s="24" t="s">
        <v>155</v>
      </c>
      <c r="C300" s="91">
        <f>18259.16*(ROUND(1.05,2))</f>
        <v>19172.118000000002</v>
      </c>
      <c r="D300" s="93">
        <f>9129.58*(ROUND(1.05,2))</f>
        <v>9586.0590000000011</v>
      </c>
      <c r="E300" s="92"/>
      <c r="F300" s="92"/>
      <c r="J300" s="63"/>
      <c r="K300" s="63"/>
      <c r="L300" s="63"/>
    </row>
    <row r="301" spans="2:12" x14ac:dyDescent="0.25">
      <c r="B301" s="24" t="s">
        <v>156</v>
      </c>
      <c r="C301" s="91">
        <f>25538.8*(ROUND(1.05,2))</f>
        <v>26815.74</v>
      </c>
      <c r="D301" s="93">
        <f>12769.39*(ROUND(1.05,2))</f>
        <v>13407.8595</v>
      </c>
      <c r="E301" s="92"/>
      <c r="F301" s="92"/>
      <c r="J301" s="63"/>
      <c r="K301" s="63"/>
      <c r="L301" s="63"/>
    </row>
    <row r="302" spans="2:12" x14ac:dyDescent="0.25">
      <c r="B302" s="24" t="s">
        <v>157</v>
      </c>
      <c r="C302" s="91">
        <f>27631.2*(ROUND(1.05,2))</f>
        <v>29012.760000000002</v>
      </c>
      <c r="D302" s="93">
        <f>13815.59*(ROUND(1.05,2))+0.01</f>
        <v>14506.379500000001</v>
      </c>
      <c r="E302" s="92"/>
      <c r="F302" s="92"/>
      <c r="J302" s="63"/>
      <c r="K302" s="63"/>
      <c r="L302" s="63"/>
    </row>
  </sheetData>
  <mergeCells count="156">
    <mergeCell ref="B288:I288"/>
    <mergeCell ref="B264:H264"/>
    <mergeCell ref="B265:B266"/>
    <mergeCell ref="C265:C266"/>
    <mergeCell ref="D265:D266"/>
    <mergeCell ref="E265:H265"/>
    <mergeCell ref="B267:B284"/>
    <mergeCell ref="C267:C272"/>
    <mergeCell ref="C273:C278"/>
    <mergeCell ref="C279:C284"/>
    <mergeCell ref="B241:B242"/>
    <mergeCell ref="C241:C242"/>
    <mergeCell ref="D241:D242"/>
    <mergeCell ref="E241:H241"/>
    <mergeCell ref="B243:B260"/>
    <mergeCell ref="C243:C248"/>
    <mergeCell ref="C249:C254"/>
    <mergeCell ref="C255:C260"/>
    <mergeCell ref="B220:B221"/>
    <mergeCell ref="C220:C221"/>
    <mergeCell ref="D220:D221"/>
    <mergeCell ref="E220:H220"/>
    <mergeCell ref="B222:B239"/>
    <mergeCell ref="C222:C227"/>
    <mergeCell ref="C228:C233"/>
    <mergeCell ref="C234:C239"/>
    <mergeCell ref="B199:H199"/>
    <mergeCell ref="B200:B201"/>
    <mergeCell ref="C200:C201"/>
    <mergeCell ref="D200:D201"/>
    <mergeCell ref="E200:H200"/>
    <mergeCell ref="B202:B219"/>
    <mergeCell ref="C202:C207"/>
    <mergeCell ref="C208:C213"/>
    <mergeCell ref="C214:C219"/>
    <mergeCell ref="B165:C165"/>
    <mergeCell ref="B166:C166"/>
    <mergeCell ref="B167:C167"/>
    <mergeCell ref="B168:C168"/>
    <mergeCell ref="E174:G174"/>
    <mergeCell ref="B176:B193"/>
    <mergeCell ref="C176:C181"/>
    <mergeCell ref="C182:C187"/>
    <mergeCell ref="C188:C193"/>
    <mergeCell ref="B153:I153"/>
    <mergeCell ref="B159:C160"/>
    <mergeCell ref="B161:C161"/>
    <mergeCell ref="B162:C162"/>
    <mergeCell ref="B163:C163"/>
    <mergeCell ref="B164:C164"/>
    <mergeCell ref="B147:C147"/>
    <mergeCell ref="D147:G147"/>
    <mergeCell ref="H147:J147"/>
    <mergeCell ref="K147:N147"/>
    <mergeCell ref="B148:C148"/>
    <mergeCell ref="D148:G148"/>
    <mergeCell ref="H148:J148"/>
    <mergeCell ref="K148:N148"/>
    <mergeCell ref="B145:C145"/>
    <mergeCell ref="D145:G145"/>
    <mergeCell ref="H145:J145"/>
    <mergeCell ref="K145:N145"/>
    <mergeCell ref="B146:C146"/>
    <mergeCell ref="D146:G146"/>
    <mergeCell ref="H146:J146"/>
    <mergeCell ref="K146:N146"/>
    <mergeCell ref="B143:C143"/>
    <mergeCell ref="D143:G143"/>
    <mergeCell ref="H143:J143"/>
    <mergeCell ref="K143:N143"/>
    <mergeCell ref="B144:C144"/>
    <mergeCell ref="D144:G144"/>
    <mergeCell ref="H144:J144"/>
    <mergeCell ref="K144:N144"/>
    <mergeCell ref="B141:C141"/>
    <mergeCell ref="D141:G141"/>
    <mergeCell ref="H141:J141"/>
    <mergeCell ref="K141:N141"/>
    <mergeCell ref="B142:C142"/>
    <mergeCell ref="D142:G142"/>
    <mergeCell ref="H142:J142"/>
    <mergeCell ref="K142:N142"/>
    <mergeCell ref="B139:C139"/>
    <mergeCell ref="D139:G139"/>
    <mergeCell ref="H139:J139"/>
    <mergeCell ref="K139:N139"/>
    <mergeCell ref="B140:C140"/>
    <mergeCell ref="D140:G140"/>
    <mergeCell ref="H140:J140"/>
    <mergeCell ref="K140:N140"/>
    <mergeCell ref="B137:C137"/>
    <mergeCell ref="D137:G137"/>
    <mergeCell ref="H137:J137"/>
    <mergeCell ref="K137:N137"/>
    <mergeCell ref="B138:C138"/>
    <mergeCell ref="D138:G138"/>
    <mergeCell ref="H138:J138"/>
    <mergeCell ref="K138:N138"/>
    <mergeCell ref="B135:C135"/>
    <mergeCell ref="D135:G135"/>
    <mergeCell ref="H135:J135"/>
    <mergeCell ref="K135:N135"/>
    <mergeCell ref="B136:C136"/>
    <mergeCell ref="D136:G136"/>
    <mergeCell ref="H136:J136"/>
    <mergeCell ref="K136:N136"/>
    <mergeCell ref="B109:B114"/>
    <mergeCell ref="B115:B120"/>
    <mergeCell ref="B121:B126"/>
    <mergeCell ref="B130:N130"/>
    <mergeCell ref="B134:C134"/>
    <mergeCell ref="D134:G134"/>
    <mergeCell ref="H134:J134"/>
    <mergeCell ref="K134:N134"/>
    <mergeCell ref="B83:B88"/>
    <mergeCell ref="B89:B94"/>
    <mergeCell ref="B95:B100"/>
    <mergeCell ref="B103:G103"/>
    <mergeCell ref="B105:F105"/>
    <mergeCell ref="B106:C107"/>
    <mergeCell ref="D106:F106"/>
    <mergeCell ref="B58:B63"/>
    <mergeCell ref="B64:B69"/>
    <mergeCell ref="B70:B75"/>
    <mergeCell ref="B77:I77"/>
    <mergeCell ref="B79:G79"/>
    <mergeCell ref="B80:C81"/>
    <mergeCell ref="F80:G80"/>
    <mergeCell ref="B33:B38"/>
    <mergeCell ref="B39:B44"/>
    <mergeCell ref="B45:B50"/>
    <mergeCell ref="B52:I52"/>
    <mergeCell ref="B54:I54"/>
    <mergeCell ref="B55:C56"/>
    <mergeCell ref="F55:G55"/>
    <mergeCell ref="H55:I55"/>
    <mergeCell ref="B19:C19"/>
    <mergeCell ref="B24:I24"/>
    <mergeCell ref="B27:I27"/>
    <mergeCell ref="B29:I29"/>
    <mergeCell ref="B30:C31"/>
    <mergeCell ref="D30:F30"/>
    <mergeCell ref="G30:H30"/>
    <mergeCell ref="B12:D12"/>
    <mergeCell ref="B14:B15"/>
    <mergeCell ref="C14:E14"/>
    <mergeCell ref="C15:E15"/>
    <mergeCell ref="B16:D16"/>
    <mergeCell ref="B18:C18"/>
    <mergeCell ref="B2:I2"/>
    <mergeCell ref="B5:C5"/>
    <mergeCell ref="B6:C6"/>
    <mergeCell ref="B7:C7"/>
    <mergeCell ref="B10:B11"/>
    <mergeCell ref="C10:E10"/>
    <mergeCell ref="C11:E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Lei 6.001 com Reajuste 5%</vt:lpstr>
    </vt:vector>
  </TitlesOfParts>
  <Company>TCE/RO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Nelma F. Caitano</dc:creator>
  <cp:lastModifiedBy>Nelma F. Caitano</cp:lastModifiedBy>
  <dcterms:created xsi:type="dcterms:W3CDTF">2025-05-13T14:38:09Z</dcterms:created>
  <dcterms:modified xsi:type="dcterms:W3CDTF">2025-05-13T14:46:33Z</dcterms:modified>
</cp:coreProperties>
</file>